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codeName="ThisWorkbook" defaultThemeVersion="124226"/>
  <mc:AlternateContent xmlns:mc="http://schemas.openxmlformats.org/markup-compatibility/2006">
    <mc:Choice Requires="x15">
      <x15ac:absPath xmlns:x15ac="http://schemas.microsoft.com/office/spreadsheetml/2010/11/ac" url="C:\Users\Jordi Vilarrubí\Desktop\Ingenieria\Detnov Tools\"/>
    </mc:Choice>
  </mc:AlternateContent>
  <xr:revisionPtr revIDLastSave="0" documentId="13_ncr:1_{BFF4477D-0BA7-46A3-A2BA-FA9E348B47DA}" xr6:coauthVersionLast="45" xr6:coauthVersionMax="45" xr10:uidLastSave="{00000000-0000-0000-0000-000000000000}"/>
  <bookViews>
    <workbookView xWindow="-120" yWindow="-120" windowWidth="20730" windowHeight="11160" xr2:uid="{00000000-000D-0000-FFFF-FFFF00000000}"/>
  </bookViews>
  <sheets>
    <sheet name="System Calculation" sheetId="1" r:id="rId1"/>
    <sheet name="Datos" sheetId="10" state="veryHidden" r:id="rId2"/>
    <sheet name="SC_Loop 1" sheetId="2" r:id="rId3"/>
    <sheet name="SC_Loop 2" sheetId="12" r:id="rId4"/>
    <sheet name="SC_Loop 3" sheetId="13" r:id="rId5"/>
    <sheet name="SC_Loop 4" sheetId="14" r:id="rId6"/>
    <sheet name="SC_Loop 5" sheetId="15" r:id="rId7"/>
    <sheet name="SC_Loop 6" sheetId="16" r:id="rId8"/>
    <sheet name="SC_Loop 7" sheetId="17" r:id="rId9"/>
    <sheet name="SC_Loop 8" sheetId="18" r:id="rId10"/>
  </sheets>
  <definedNames>
    <definedName name="CAD_150_1">Datos!$L$6</definedName>
    <definedName name="CAD_150_2">Datos!$M$6</definedName>
    <definedName name="CAD_150_2_MB">Datos!$N$6</definedName>
    <definedName name="CAD_150_4">Datos!$O$6</definedName>
    <definedName name="CAD_150_4_P">Datos!$V$6</definedName>
    <definedName name="CAD_150_8_4loop">Datos!$P$6:$P$7</definedName>
    <definedName name="CAD_150_8_6loop">Datos!$Q$6:$Q$7</definedName>
    <definedName name="CAD_150_8_8loop">Datos!$R$6:$R$7</definedName>
    <definedName name="CAD_150_8PLUS_4loop">Datos!$S$6:$S$8</definedName>
    <definedName name="CAD_150_8PLUS_6loop">Datos!$T$6:$T$8</definedName>
    <definedName name="CAD_150_8PLUS_8loop">Datos!$U$6:$U$8</definedName>
    <definedName name="CAD_150_8PLUS_P_4loop">Datos!$W$6:$W$8</definedName>
    <definedName name="CAD_150_8PLUS_P_6loop">Datos!$X$6:$X$8</definedName>
    <definedName name="CAD_150_8PLUS_P_8loop">Datos!$Y$6:$Y$8</definedName>
    <definedName name="Centrales">Datos!$K$5:$K$19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7" i="1" l="1"/>
  <c r="B56" i="2" l="1"/>
  <c r="C15" i="1" l="1"/>
  <c r="B15" i="1"/>
  <c r="C16" i="1" l="1"/>
  <c r="C23" i="10"/>
  <c r="D23" i="10"/>
  <c r="C24" i="10"/>
  <c r="D24" i="10"/>
  <c r="D22" i="10"/>
  <c r="C22" i="10"/>
  <c r="D21" i="10"/>
  <c r="C21" i="10"/>
  <c r="B21" i="10"/>
  <c r="B22" i="10"/>
  <c r="B23" i="10"/>
  <c r="B24" i="10"/>
  <c r="B20" i="10"/>
  <c r="Y5" i="10"/>
  <c r="X5" i="10"/>
  <c r="W5" i="10"/>
  <c r="V5" i="10"/>
  <c r="B13" i="1" l="1"/>
  <c r="E20" i="1"/>
  <c r="E19" i="1"/>
  <c r="E18" i="1"/>
  <c r="B37" i="1" l="1"/>
  <c r="B36" i="1"/>
  <c r="B35" i="1"/>
  <c r="B34" i="1"/>
  <c r="B33" i="1"/>
  <c r="B32" i="1"/>
  <c r="B31" i="1"/>
  <c r="B82" i="18"/>
  <c r="B83" i="18" s="1"/>
  <c r="B84" i="18" s="1"/>
  <c r="B81" i="18"/>
  <c r="H81" i="18" s="1"/>
  <c r="H80" i="18"/>
  <c r="B80" i="18"/>
  <c r="B56" i="18"/>
  <c r="L55" i="18"/>
  <c r="G55" i="18"/>
  <c r="D55" i="18"/>
  <c r="L54" i="18"/>
  <c r="G54" i="18"/>
  <c r="D54" i="18"/>
  <c r="L53" i="18"/>
  <c r="G53" i="18"/>
  <c r="D53" i="18"/>
  <c r="L52" i="18"/>
  <c r="G52" i="18"/>
  <c r="D52" i="18"/>
  <c r="L51" i="18"/>
  <c r="G51" i="18"/>
  <c r="D51" i="18"/>
  <c r="E50" i="18"/>
  <c r="G50" i="18" s="1"/>
  <c r="D50" i="18"/>
  <c r="G49" i="18"/>
  <c r="D49" i="18"/>
  <c r="N48" i="18"/>
  <c r="L48" i="18"/>
  <c r="J48" i="18"/>
  <c r="E48" i="18"/>
  <c r="G48" i="18" s="1"/>
  <c r="D48" i="18"/>
  <c r="L47" i="18"/>
  <c r="K47" i="18"/>
  <c r="E47" i="18"/>
  <c r="G47" i="18" s="1"/>
  <c r="H47" i="18" s="1"/>
  <c r="D47" i="18"/>
  <c r="K46" i="18"/>
  <c r="L46" i="18" s="1"/>
  <c r="E46" i="18"/>
  <c r="G46" i="18" s="1"/>
  <c r="H46" i="18" s="1"/>
  <c r="D46" i="18"/>
  <c r="K45" i="18"/>
  <c r="L45" i="18" s="1"/>
  <c r="E45" i="18"/>
  <c r="G45" i="18" s="1"/>
  <c r="H45" i="18" s="1"/>
  <c r="D45" i="18"/>
  <c r="L44" i="18"/>
  <c r="K44" i="18"/>
  <c r="E44" i="18"/>
  <c r="G44" i="18" s="1"/>
  <c r="H44" i="18" s="1"/>
  <c r="D44" i="18"/>
  <c r="L43" i="18"/>
  <c r="K43" i="18"/>
  <c r="K56" i="18" s="1"/>
  <c r="E43" i="18"/>
  <c r="G43" i="18" s="1"/>
  <c r="H43" i="18" s="1"/>
  <c r="D43" i="18"/>
  <c r="L42" i="18"/>
  <c r="E42" i="18"/>
  <c r="G42" i="18" s="1"/>
  <c r="D42" i="18"/>
  <c r="L41" i="18"/>
  <c r="E41" i="18"/>
  <c r="G41" i="18" s="1"/>
  <c r="D41" i="18"/>
  <c r="N40" i="18"/>
  <c r="J40" i="18"/>
  <c r="L40" i="18" s="1"/>
  <c r="E40" i="18"/>
  <c r="G40" i="18" s="1"/>
  <c r="D40" i="18"/>
  <c r="N39" i="18"/>
  <c r="L39" i="18"/>
  <c r="J39" i="18"/>
  <c r="E39" i="18"/>
  <c r="G39" i="18" s="1"/>
  <c r="D39" i="18"/>
  <c r="N38" i="18"/>
  <c r="J38" i="18"/>
  <c r="L38" i="18" s="1"/>
  <c r="E38" i="18"/>
  <c r="G38" i="18" s="1"/>
  <c r="D38" i="18"/>
  <c r="N37" i="18"/>
  <c r="J37" i="18"/>
  <c r="L37" i="18" s="1"/>
  <c r="E37" i="18"/>
  <c r="G37" i="18" s="1"/>
  <c r="D37" i="18"/>
  <c r="N36" i="18"/>
  <c r="J36" i="18"/>
  <c r="L36" i="18" s="1"/>
  <c r="E36" i="18"/>
  <c r="G36" i="18" s="1"/>
  <c r="D36" i="18"/>
  <c r="N35" i="18"/>
  <c r="L35" i="18"/>
  <c r="J35" i="18"/>
  <c r="E35" i="18"/>
  <c r="G35" i="18" s="1"/>
  <c r="D35" i="18"/>
  <c r="N34" i="18"/>
  <c r="J34" i="18"/>
  <c r="L34" i="18" s="1"/>
  <c r="E34" i="18"/>
  <c r="G34" i="18" s="1"/>
  <c r="D34" i="18"/>
  <c r="L33" i="18"/>
  <c r="J33" i="18"/>
  <c r="E33" i="18"/>
  <c r="G33" i="18" s="1"/>
  <c r="D33" i="18"/>
  <c r="N32" i="18"/>
  <c r="J32" i="18"/>
  <c r="L32" i="18" s="1"/>
  <c r="E32" i="18"/>
  <c r="G32" i="18" s="1"/>
  <c r="D32" i="18"/>
  <c r="N31" i="18"/>
  <c r="J31" i="18"/>
  <c r="L31" i="18" s="1"/>
  <c r="E31" i="18"/>
  <c r="G31" i="18" s="1"/>
  <c r="D31" i="18"/>
  <c r="J30" i="18"/>
  <c r="L30" i="18" s="1"/>
  <c r="E30" i="18"/>
  <c r="G30" i="18" s="1"/>
  <c r="D30" i="18"/>
  <c r="J29" i="18"/>
  <c r="L29" i="18" s="1"/>
  <c r="E29" i="18"/>
  <c r="G29" i="18" s="1"/>
  <c r="D29" i="18"/>
  <c r="J28" i="18"/>
  <c r="L28" i="18" s="1"/>
  <c r="E28" i="18"/>
  <c r="G28" i="18" s="1"/>
  <c r="D28" i="18"/>
  <c r="L27" i="18"/>
  <c r="J27" i="18"/>
  <c r="J56" i="18" s="1"/>
  <c r="E27" i="18"/>
  <c r="G27" i="18" s="1"/>
  <c r="D27" i="18"/>
  <c r="L26" i="18"/>
  <c r="J26" i="18"/>
  <c r="E26" i="18"/>
  <c r="G26" i="18" s="1"/>
  <c r="D26" i="18"/>
  <c r="L25" i="18"/>
  <c r="J25" i="18"/>
  <c r="E25" i="18"/>
  <c r="G25" i="18" s="1"/>
  <c r="D25" i="18"/>
  <c r="I24" i="18"/>
  <c r="L24" i="18" s="1"/>
  <c r="E24" i="18"/>
  <c r="G24" i="18" s="1"/>
  <c r="D24" i="18"/>
  <c r="I23" i="18"/>
  <c r="L23" i="18" s="1"/>
  <c r="E23" i="18"/>
  <c r="G23" i="18" s="1"/>
  <c r="D23" i="18"/>
  <c r="I22" i="18"/>
  <c r="L22" i="18" s="1"/>
  <c r="E22" i="18"/>
  <c r="G22" i="18" s="1"/>
  <c r="D22" i="18"/>
  <c r="I21" i="18"/>
  <c r="L21" i="18" s="1"/>
  <c r="G21" i="18"/>
  <c r="E21" i="18"/>
  <c r="D21" i="18"/>
  <c r="I20" i="18"/>
  <c r="L20" i="18" s="1"/>
  <c r="G20" i="18"/>
  <c r="E20" i="18"/>
  <c r="D20" i="18"/>
  <c r="L19" i="18"/>
  <c r="I19" i="18"/>
  <c r="I56" i="18" s="1"/>
  <c r="G19" i="18"/>
  <c r="E19" i="18"/>
  <c r="D19" i="18"/>
  <c r="L18" i="18"/>
  <c r="I18" i="18"/>
  <c r="E18" i="18"/>
  <c r="G18" i="18" s="1"/>
  <c r="D18" i="18"/>
  <c r="D56" i="18" s="1"/>
  <c r="B61" i="18" s="1"/>
  <c r="L17" i="18"/>
  <c r="I17" i="18"/>
  <c r="E17" i="18"/>
  <c r="D17" i="18"/>
  <c r="G11" i="18"/>
  <c r="L7" i="18"/>
  <c r="A7" i="18"/>
  <c r="B82" i="17"/>
  <c r="B83" i="17" s="1"/>
  <c r="B84" i="17" s="1"/>
  <c r="H81" i="17"/>
  <c r="B81" i="17"/>
  <c r="B80" i="17"/>
  <c r="H80" i="17" s="1"/>
  <c r="K56" i="17"/>
  <c r="L55" i="17"/>
  <c r="B56" i="17" s="1"/>
  <c r="G55" i="17"/>
  <c r="D55" i="17"/>
  <c r="L54" i="17"/>
  <c r="G54" i="17"/>
  <c r="D54" i="17"/>
  <c r="L53" i="17"/>
  <c r="G53" i="17"/>
  <c r="D53" i="17"/>
  <c r="L52" i="17"/>
  <c r="G52" i="17"/>
  <c r="D52" i="17"/>
  <c r="L51" i="17"/>
  <c r="G51" i="17"/>
  <c r="D51" i="17"/>
  <c r="E50" i="17"/>
  <c r="G50" i="17" s="1"/>
  <c r="D50" i="17"/>
  <c r="G49" i="17"/>
  <c r="D49" i="17"/>
  <c r="N48" i="17"/>
  <c r="L48" i="17"/>
  <c r="J48" i="17"/>
  <c r="E48" i="17"/>
  <c r="G48" i="17" s="1"/>
  <c r="D48" i="17"/>
  <c r="K47" i="17"/>
  <c r="L47" i="17" s="1"/>
  <c r="E47" i="17"/>
  <c r="G47" i="17" s="1"/>
  <c r="H47" i="17" s="1"/>
  <c r="D47" i="17"/>
  <c r="L46" i="17"/>
  <c r="K46" i="17"/>
  <c r="E46" i="17"/>
  <c r="G46" i="17" s="1"/>
  <c r="H46" i="17" s="1"/>
  <c r="D46" i="17"/>
  <c r="K45" i="17"/>
  <c r="L45" i="17" s="1"/>
  <c r="E45" i="17"/>
  <c r="G45" i="17" s="1"/>
  <c r="H45" i="17" s="1"/>
  <c r="D45" i="17"/>
  <c r="K44" i="17"/>
  <c r="L44" i="17" s="1"/>
  <c r="E44" i="17"/>
  <c r="G44" i="17" s="1"/>
  <c r="H44" i="17" s="1"/>
  <c r="D44" i="17"/>
  <c r="K43" i="17"/>
  <c r="L43" i="17" s="1"/>
  <c r="E43" i="17"/>
  <c r="G43" i="17" s="1"/>
  <c r="H43" i="17" s="1"/>
  <c r="D43" i="17"/>
  <c r="L42" i="17"/>
  <c r="E42" i="17"/>
  <c r="G42" i="17" s="1"/>
  <c r="D42" i="17"/>
  <c r="L41" i="17"/>
  <c r="E41" i="17"/>
  <c r="G41" i="17" s="1"/>
  <c r="D41" i="17"/>
  <c r="N40" i="17"/>
  <c r="L40" i="17"/>
  <c r="J40" i="17"/>
  <c r="E40" i="17"/>
  <c r="G40" i="17" s="1"/>
  <c r="D40" i="17"/>
  <c r="N39" i="17"/>
  <c r="J39" i="17"/>
  <c r="L39" i="17" s="1"/>
  <c r="E39" i="17"/>
  <c r="G39" i="17" s="1"/>
  <c r="D39" i="17"/>
  <c r="N38" i="17"/>
  <c r="L38" i="17"/>
  <c r="J38" i="17"/>
  <c r="E38" i="17"/>
  <c r="G38" i="17" s="1"/>
  <c r="D38" i="17"/>
  <c r="N37" i="17"/>
  <c r="J37" i="17"/>
  <c r="L37" i="17" s="1"/>
  <c r="E37" i="17"/>
  <c r="G37" i="17" s="1"/>
  <c r="D37" i="17"/>
  <c r="N36" i="17"/>
  <c r="L36" i="17"/>
  <c r="J36" i="17"/>
  <c r="E36" i="17"/>
  <c r="G36" i="17" s="1"/>
  <c r="D36" i="17"/>
  <c r="N35" i="17"/>
  <c r="J35" i="17"/>
  <c r="L35" i="17" s="1"/>
  <c r="E35" i="17"/>
  <c r="G35" i="17" s="1"/>
  <c r="D35" i="17"/>
  <c r="N34" i="17"/>
  <c r="L34" i="17"/>
  <c r="J34" i="17"/>
  <c r="E34" i="17"/>
  <c r="G34" i="17" s="1"/>
  <c r="D34" i="17"/>
  <c r="L33" i="17"/>
  <c r="J33" i="17"/>
  <c r="E33" i="17"/>
  <c r="G33" i="17" s="1"/>
  <c r="D33" i="17"/>
  <c r="N32" i="17"/>
  <c r="L32" i="17"/>
  <c r="J32" i="17"/>
  <c r="E32" i="17"/>
  <c r="G32" i="17" s="1"/>
  <c r="D32" i="17"/>
  <c r="N31" i="17"/>
  <c r="J31" i="17"/>
  <c r="L31" i="17" s="1"/>
  <c r="E31" i="17"/>
  <c r="G31" i="17" s="1"/>
  <c r="D31" i="17"/>
  <c r="J30" i="17"/>
  <c r="L30" i="17" s="1"/>
  <c r="E30" i="17"/>
  <c r="G30" i="17" s="1"/>
  <c r="D30" i="17"/>
  <c r="L29" i="17"/>
  <c r="J29" i="17"/>
  <c r="E29" i="17"/>
  <c r="G29" i="17" s="1"/>
  <c r="D29" i="17"/>
  <c r="L28" i="17"/>
  <c r="J28" i="17"/>
  <c r="E28" i="17"/>
  <c r="G28" i="17" s="1"/>
  <c r="D28" i="17"/>
  <c r="L27" i="17"/>
  <c r="J27" i="17"/>
  <c r="E27" i="17"/>
  <c r="G27" i="17" s="1"/>
  <c r="D27" i="17"/>
  <c r="J26" i="17"/>
  <c r="L26" i="17" s="1"/>
  <c r="E26" i="17"/>
  <c r="G26" i="17" s="1"/>
  <c r="D26" i="17"/>
  <c r="J25" i="17"/>
  <c r="J56" i="17" s="1"/>
  <c r="E25" i="17"/>
  <c r="G25" i="17" s="1"/>
  <c r="D25" i="17"/>
  <c r="L24" i="17"/>
  <c r="I24" i="17"/>
  <c r="E24" i="17"/>
  <c r="G24" i="17" s="1"/>
  <c r="D24" i="17"/>
  <c r="I23" i="17"/>
  <c r="L23" i="17" s="1"/>
  <c r="G23" i="17"/>
  <c r="E23" i="17"/>
  <c r="D23" i="17"/>
  <c r="I22" i="17"/>
  <c r="L22" i="17" s="1"/>
  <c r="G22" i="17"/>
  <c r="E22" i="17"/>
  <c r="D22" i="17"/>
  <c r="L21" i="17"/>
  <c r="I21" i="17"/>
  <c r="G21" i="17"/>
  <c r="E21" i="17"/>
  <c r="D21" i="17"/>
  <c r="L20" i="17"/>
  <c r="I20" i="17"/>
  <c r="E20" i="17"/>
  <c r="G20" i="17" s="1"/>
  <c r="D20" i="17"/>
  <c r="I19" i="17"/>
  <c r="L19" i="17" s="1"/>
  <c r="E19" i="17"/>
  <c r="G19" i="17" s="1"/>
  <c r="D19" i="17"/>
  <c r="I18" i="17"/>
  <c r="L18" i="17" s="1"/>
  <c r="G18" i="17"/>
  <c r="E18" i="17"/>
  <c r="D18" i="17"/>
  <c r="I17" i="17"/>
  <c r="I56" i="17" s="1"/>
  <c r="E17" i="17"/>
  <c r="D17" i="17"/>
  <c r="D56" i="17" s="1"/>
  <c r="B61" i="17" s="1"/>
  <c r="G11" i="17"/>
  <c r="L7" i="17"/>
  <c r="A7" i="17"/>
  <c r="B82" i="16"/>
  <c r="B83" i="16" s="1"/>
  <c r="B84" i="16" s="1"/>
  <c r="H81" i="16"/>
  <c r="B81" i="16"/>
  <c r="H80" i="16"/>
  <c r="B80" i="16"/>
  <c r="K56" i="16"/>
  <c r="L55" i="16"/>
  <c r="B56" i="16" s="1"/>
  <c r="G55" i="16"/>
  <c r="D55" i="16"/>
  <c r="L54" i="16"/>
  <c r="G54" i="16"/>
  <c r="D54" i="16"/>
  <c r="L53" i="16"/>
  <c r="G53" i="16"/>
  <c r="D53" i="16"/>
  <c r="L52" i="16"/>
  <c r="G52" i="16"/>
  <c r="D52" i="16"/>
  <c r="L51" i="16"/>
  <c r="G51" i="16"/>
  <c r="D51" i="16"/>
  <c r="E50" i="16"/>
  <c r="G50" i="16" s="1"/>
  <c r="D50" i="16"/>
  <c r="G49" i="16"/>
  <c r="D49" i="16"/>
  <c r="N48" i="16"/>
  <c r="L48" i="16"/>
  <c r="J48" i="16"/>
  <c r="E48" i="16"/>
  <c r="G48" i="16" s="1"/>
  <c r="D48" i="16"/>
  <c r="L47" i="16"/>
  <c r="K47" i="16"/>
  <c r="E47" i="16"/>
  <c r="G47" i="16" s="1"/>
  <c r="H47" i="16" s="1"/>
  <c r="D47" i="16"/>
  <c r="L46" i="16"/>
  <c r="K46" i="16"/>
  <c r="E46" i="16"/>
  <c r="G46" i="16" s="1"/>
  <c r="H46" i="16" s="1"/>
  <c r="D46" i="16"/>
  <c r="K45" i="16"/>
  <c r="L45" i="16" s="1"/>
  <c r="E45" i="16"/>
  <c r="G45" i="16" s="1"/>
  <c r="H45" i="16" s="1"/>
  <c r="D45" i="16"/>
  <c r="L44" i="16"/>
  <c r="K44" i="16"/>
  <c r="E44" i="16"/>
  <c r="G44" i="16" s="1"/>
  <c r="H44" i="16" s="1"/>
  <c r="D44" i="16"/>
  <c r="L43" i="16"/>
  <c r="K43" i="16"/>
  <c r="E43" i="16"/>
  <c r="G43" i="16" s="1"/>
  <c r="H43" i="16" s="1"/>
  <c r="D43" i="16"/>
  <c r="L42" i="16"/>
  <c r="E42" i="16"/>
  <c r="G42" i="16" s="1"/>
  <c r="D42" i="16"/>
  <c r="L41" i="16"/>
  <c r="E41" i="16"/>
  <c r="G41" i="16" s="1"/>
  <c r="D41" i="16"/>
  <c r="N40" i="16"/>
  <c r="J40" i="16"/>
  <c r="L40" i="16" s="1"/>
  <c r="E40" i="16"/>
  <c r="G40" i="16" s="1"/>
  <c r="D40" i="16"/>
  <c r="N39" i="16"/>
  <c r="J39" i="16"/>
  <c r="L39" i="16" s="1"/>
  <c r="E39" i="16"/>
  <c r="G39" i="16" s="1"/>
  <c r="D39" i="16"/>
  <c r="N38" i="16"/>
  <c r="J38" i="16"/>
  <c r="L38" i="16" s="1"/>
  <c r="E38" i="16"/>
  <c r="G38" i="16" s="1"/>
  <c r="D38" i="16"/>
  <c r="N37" i="16"/>
  <c r="J37" i="16"/>
  <c r="L37" i="16" s="1"/>
  <c r="E37" i="16"/>
  <c r="G37" i="16" s="1"/>
  <c r="D37" i="16"/>
  <c r="N36" i="16"/>
  <c r="J36" i="16"/>
  <c r="L36" i="16" s="1"/>
  <c r="E36" i="16"/>
  <c r="G36" i="16" s="1"/>
  <c r="D36" i="16"/>
  <c r="N35" i="16"/>
  <c r="J35" i="16"/>
  <c r="L35" i="16" s="1"/>
  <c r="E35" i="16"/>
  <c r="G35" i="16" s="1"/>
  <c r="D35" i="16"/>
  <c r="N34" i="16"/>
  <c r="J34" i="16"/>
  <c r="L34" i="16" s="1"/>
  <c r="E34" i="16"/>
  <c r="G34" i="16" s="1"/>
  <c r="D34" i="16"/>
  <c r="L33" i="16"/>
  <c r="J33" i="16"/>
  <c r="E33" i="16"/>
  <c r="G33" i="16" s="1"/>
  <c r="D33" i="16"/>
  <c r="N32" i="16"/>
  <c r="L32" i="16"/>
  <c r="J32" i="16"/>
  <c r="E32" i="16"/>
  <c r="G32" i="16" s="1"/>
  <c r="D32" i="16"/>
  <c r="N31" i="16"/>
  <c r="J31" i="16"/>
  <c r="L31" i="16" s="1"/>
  <c r="E31" i="16"/>
  <c r="G31" i="16" s="1"/>
  <c r="D31" i="16"/>
  <c r="J30" i="16"/>
  <c r="L30" i="16" s="1"/>
  <c r="E30" i="16"/>
  <c r="G30" i="16" s="1"/>
  <c r="D30" i="16"/>
  <c r="L29" i="16"/>
  <c r="J29" i="16"/>
  <c r="E29" i="16"/>
  <c r="G29" i="16" s="1"/>
  <c r="D29" i="16"/>
  <c r="J28" i="16"/>
  <c r="L28" i="16" s="1"/>
  <c r="E28" i="16"/>
  <c r="G28" i="16" s="1"/>
  <c r="D28" i="16"/>
  <c r="L27" i="16"/>
  <c r="J27" i="16"/>
  <c r="E27" i="16"/>
  <c r="G27" i="16" s="1"/>
  <c r="D27" i="16"/>
  <c r="J26" i="16"/>
  <c r="L26" i="16" s="1"/>
  <c r="E26" i="16"/>
  <c r="G26" i="16" s="1"/>
  <c r="D26" i="16"/>
  <c r="L25" i="16"/>
  <c r="J25" i="16"/>
  <c r="J56" i="16" s="1"/>
  <c r="E25" i="16"/>
  <c r="G25" i="16" s="1"/>
  <c r="D25" i="16"/>
  <c r="I24" i="16"/>
  <c r="L24" i="16" s="1"/>
  <c r="E24" i="16"/>
  <c r="G24" i="16" s="1"/>
  <c r="D24" i="16"/>
  <c r="I23" i="16"/>
  <c r="L23" i="16" s="1"/>
  <c r="G23" i="16"/>
  <c r="E23" i="16"/>
  <c r="D23" i="16"/>
  <c r="I22" i="16"/>
  <c r="L22" i="16" s="1"/>
  <c r="E22" i="16"/>
  <c r="G22" i="16" s="1"/>
  <c r="D22" i="16"/>
  <c r="L21" i="16"/>
  <c r="I21" i="16"/>
  <c r="G21" i="16"/>
  <c r="E21" i="16"/>
  <c r="D21" i="16"/>
  <c r="I20" i="16"/>
  <c r="L20" i="16" s="1"/>
  <c r="E20" i="16"/>
  <c r="G20" i="16" s="1"/>
  <c r="D20" i="16"/>
  <c r="L19" i="16"/>
  <c r="I19" i="16"/>
  <c r="G19" i="16"/>
  <c r="E19" i="16"/>
  <c r="D19" i="16"/>
  <c r="I18" i="16"/>
  <c r="L18" i="16" s="1"/>
  <c r="E18" i="16"/>
  <c r="G18" i="16" s="1"/>
  <c r="D18" i="16"/>
  <c r="L17" i="16"/>
  <c r="I17" i="16"/>
  <c r="I56" i="16" s="1"/>
  <c r="E17" i="16"/>
  <c r="D17" i="16"/>
  <c r="D56" i="16" s="1"/>
  <c r="B61" i="16" s="1"/>
  <c r="G11" i="16"/>
  <c r="L7" i="16"/>
  <c r="A7" i="16"/>
  <c r="H81" i="15"/>
  <c r="B81" i="15"/>
  <c r="B82" i="15" s="1"/>
  <c r="B83" i="15" s="1"/>
  <c r="B84" i="15" s="1"/>
  <c r="H80" i="15"/>
  <c r="B80" i="15"/>
  <c r="K56" i="15"/>
  <c r="L55" i="15"/>
  <c r="G55" i="15"/>
  <c r="D55" i="15"/>
  <c r="L54" i="15"/>
  <c r="G54" i="15"/>
  <c r="D54" i="15"/>
  <c r="L53" i="15"/>
  <c r="G53" i="15"/>
  <c r="D53" i="15"/>
  <c r="L52" i="15"/>
  <c r="G52" i="15"/>
  <c r="D52" i="15"/>
  <c r="L51" i="15"/>
  <c r="B56" i="15" s="1"/>
  <c r="G51" i="15"/>
  <c r="D51" i="15"/>
  <c r="E50" i="15"/>
  <c r="G50" i="15" s="1"/>
  <c r="D50" i="15"/>
  <c r="G49" i="15"/>
  <c r="D49" i="15"/>
  <c r="N48" i="15"/>
  <c r="L48" i="15"/>
  <c r="J48" i="15"/>
  <c r="E48" i="15"/>
  <c r="G48" i="15" s="1"/>
  <c r="D48" i="15"/>
  <c r="L47" i="15"/>
  <c r="K47" i="15"/>
  <c r="E47" i="15"/>
  <c r="G47" i="15" s="1"/>
  <c r="H47" i="15" s="1"/>
  <c r="D47" i="15"/>
  <c r="L46" i="15"/>
  <c r="K46" i="15"/>
  <c r="E46" i="15"/>
  <c r="G46" i="15" s="1"/>
  <c r="H46" i="15" s="1"/>
  <c r="D46" i="15"/>
  <c r="L45" i="15"/>
  <c r="K45" i="15"/>
  <c r="E45" i="15"/>
  <c r="G45" i="15" s="1"/>
  <c r="H45" i="15" s="1"/>
  <c r="D45" i="15"/>
  <c r="L44" i="15"/>
  <c r="K44" i="15"/>
  <c r="E44" i="15"/>
  <c r="G44" i="15" s="1"/>
  <c r="H44" i="15" s="1"/>
  <c r="D44" i="15"/>
  <c r="L43" i="15"/>
  <c r="K43" i="15"/>
  <c r="E43" i="15"/>
  <c r="G43" i="15" s="1"/>
  <c r="H43" i="15" s="1"/>
  <c r="D43" i="15"/>
  <c r="L42" i="15"/>
  <c r="E42" i="15"/>
  <c r="G42" i="15" s="1"/>
  <c r="D42" i="15"/>
  <c r="L41" i="15"/>
  <c r="E41" i="15"/>
  <c r="G41" i="15" s="1"/>
  <c r="D41" i="15"/>
  <c r="N40" i="15"/>
  <c r="J40" i="15"/>
  <c r="L40" i="15" s="1"/>
  <c r="E40" i="15"/>
  <c r="G40" i="15" s="1"/>
  <c r="D40" i="15"/>
  <c r="N39" i="15"/>
  <c r="J39" i="15"/>
  <c r="L39" i="15" s="1"/>
  <c r="E39" i="15"/>
  <c r="G39" i="15" s="1"/>
  <c r="D39" i="15"/>
  <c r="N38" i="15"/>
  <c r="J38" i="15"/>
  <c r="L38" i="15" s="1"/>
  <c r="E38" i="15"/>
  <c r="G38" i="15" s="1"/>
  <c r="D38" i="15"/>
  <c r="N37" i="15"/>
  <c r="J37" i="15"/>
  <c r="L37" i="15" s="1"/>
  <c r="E37" i="15"/>
  <c r="G37" i="15" s="1"/>
  <c r="D37" i="15"/>
  <c r="N36" i="15"/>
  <c r="J36" i="15"/>
  <c r="L36" i="15" s="1"/>
  <c r="E36" i="15"/>
  <c r="G36" i="15" s="1"/>
  <c r="D36" i="15"/>
  <c r="N35" i="15"/>
  <c r="J35" i="15"/>
  <c r="L35" i="15" s="1"/>
  <c r="E35" i="15"/>
  <c r="G35" i="15" s="1"/>
  <c r="D35" i="15"/>
  <c r="N34" i="15"/>
  <c r="J34" i="15"/>
  <c r="L34" i="15" s="1"/>
  <c r="E34" i="15"/>
  <c r="G34" i="15" s="1"/>
  <c r="D34" i="15"/>
  <c r="L33" i="15"/>
  <c r="J33" i="15"/>
  <c r="E33" i="15"/>
  <c r="G33" i="15" s="1"/>
  <c r="D33" i="15"/>
  <c r="N32" i="15"/>
  <c r="L32" i="15"/>
  <c r="J32" i="15"/>
  <c r="E32" i="15"/>
  <c r="G32" i="15" s="1"/>
  <c r="D32" i="15"/>
  <c r="N31" i="15"/>
  <c r="L31" i="15"/>
  <c r="J31" i="15"/>
  <c r="E31" i="15"/>
  <c r="G31" i="15" s="1"/>
  <c r="D31" i="15"/>
  <c r="J30" i="15"/>
  <c r="L30" i="15" s="1"/>
  <c r="E30" i="15"/>
  <c r="G30" i="15" s="1"/>
  <c r="D30" i="15"/>
  <c r="L29" i="15"/>
  <c r="J29" i="15"/>
  <c r="E29" i="15"/>
  <c r="G29" i="15" s="1"/>
  <c r="D29" i="15"/>
  <c r="J28" i="15"/>
  <c r="L28" i="15" s="1"/>
  <c r="E28" i="15"/>
  <c r="G28" i="15" s="1"/>
  <c r="D28" i="15"/>
  <c r="L27" i="15"/>
  <c r="J27" i="15"/>
  <c r="E27" i="15"/>
  <c r="G27" i="15" s="1"/>
  <c r="D27" i="15"/>
  <c r="J26" i="15"/>
  <c r="L26" i="15" s="1"/>
  <c r="E26" i="15"/>
  <c r="G26" i="15" s="1"/>
  <c r="D26" i="15"/>
  <c r="L25" i="15"/>
  <c r="J25" i="15"/>
  <c r="J56" i="15" s="1"/>
  <c r="E25" i="15"/>
  <c r="G25" i="15" s="1"/>
  <c r="D25" i="15"/>
  <c r="I24" i="15"/>
  <c r="L24" i="15" s="1"/>
  <c r="E24" i="15"/>
  <c r="G24" i="15" s="1"/>
  <c r="D24" i="15"/>
  <c r="L23" i="15"/>
  <c r="I23" i="15"/>
  <c r="G23" i="15"/>
  <c r="E23" i="15"/>
  <c r="D23" i="15"/>
  <c r="I22" i="15"/>
  <c r="L22" i="15" s="1"/>
  <c r="E22" i="15"/>
  <c r="G22" i="15" s="1"/>
  <c r="D22" i="15"/>
  <c r="L21" i="15"/>
  <c r="I21" i="15"/>
  <c r="G21" i="15"/>
  <c r="E21" i="15"/>
  <c r="D21" i="15"/>
  <c r="I20" i="15"/>
  <c r="L20" i="15" s="1"/>
  <c r="E20" i="15"/>
  <c r="G20" i="15" s="1"/>
  <c r="D20" i="15"/>
  <c r="L19" i="15"/>
  <c r="I19" i="15"/>
  <c r="G19" i="15"/>
  <c r="E19" i="15"/>
  <c r="D19" i="15"/>
  <c r="I18" i="15"/>
  <c r="L18" i="15" s="1"/>
  <c r="E18" i="15"/>
  <c r="G18" i="15" s="1"/>
  <c r="D18" i="15"/>
  <c r="L17" i="15"/>
  <c r="L56" i="15" s="1"/>
  <c r="I17" i="15"/>
  <c r="I56" i="15" s="1"/>
  <c r="G17" i="15"/>
  <c r="E17" i="15"/>
  <c r="D17" i="15"/>
  <c r="D56" i="15" s="1"/>
  <c r="B61" i="15" s="1"/>
  <c r="G11" i="15"/>
  <c r="L7" i="15"/>
  <c r="A7" i="15"/>
  <c r="B82" i="14"/>
  <c r="B83" i="14" s="1"/>
  <c r="B84" i="14" s="1"/>
  <c r="B81" i="14"/>
  <c r="H81" i="14" s="1"/>
  <c r="H80" i="14"/>
  <c r="B80" i="14"/>
  <c r="B56" i="14"/>
  <c r="L55" i="14"/>
  <c r="G55" i="14"/>
  <c r="D55" i="14"/>
  <c r="L54" i="14"/>
  <c r="G54" i="14"/>
  <c r="D54" i="14"/>
  <c r="L53" i="14"/>
  <c r="G53" i="14"/>
  <c r="D53" i="14"/>
  <c r="L52" i="14"/>
  <c r="G52" i="14"/>
  <c r="D52" i="14"/>
  <c r="L51" i="14"/>
  <c r="G51" i="14"/>
  <c r="D51" i="14"/>
  <c r="E50" i="14"/>
  <c r="G50" i="14" s="1"/>
  <c r="D50" i="14"/>
  <c r="G49" i="14"/>
  <c r="D49" i="14"/>
  <c r="N48" i="14"/>
  <c r="L48" i="14"/>
  <c r="J48" i="14"/>
  <c r="E48" i="14"/>
  <c r="G48" i="14" s="1"/>
  <c r="D48" i="14"/>
  <c r="L47" i="14"/>
  <c r="K47" i="14"/>
  <c r="E47" i="14"/>
  <c r="G47" i="14" s="1"/>
  <c r="H47" i="14" s="1"/>
  <c r="D47" i="14"/>
  <c r="K46" i="14"/>
  <c r="L46" i="14" s="1"/>
  <c r="E46" i="14"/>
  <c r="G46" i="14" s="1"/>
  <c r="H46" i="14" s="1"/>
  <c r="D46" i="14"/>
  <c r="K45" i="14"/>
  <c r="L45" i="14" s="1"/>
  <c r="E45" i="14"/>
  <c r="G45" i="14" s="1"/>
  <c r="H45" i="14" s="1"/>
  <c r="D45" i="14"/>
  <c r="L44" i="14"/>
  <c r="K44" i="14"/>
  <c r="E44" i="14"/>
  <c r="G44" i="14" s="1"/>
  <c r="H44" i="14" s="1"/>
  <c r="D44" i="14"/>
  <c r="L43" i="14"/>
  <c r="K43" i="14"/>
  <c r="K56" i="14" s="1"/>
  <c r="E43" i="14"/>
  <c r="G43" i="14" s="1"/>
  <c r="H43" i="14" s="1"/>
  <c r="D43" i="14"/>
  <c r="L42" i="14"/>
  <c r="E42" i="14"/>
  <c r="G42" i="14" s="1"/>
  <c r="D42" i="14"/>
  <c r="L41" i="14"/>
  <c r="E41" i="14"/>
  <c r="G41" i="14" s="1"/>
  <c r="D41" i="14"/>
  <c r="N40" i="14"/>
  <c r="J40" i="14"/>
  <c r="L40" i="14" s="1"/>
  <c r="E40" i="14"/>
  <c r="G40" i="14" s="1"/>
  <c r="D40" i="14"/>
  <c r="N39" i="14"/>
  <c r="L39" i="14"/>
  <c r="J39" i="14"/>
  <c r="E39" i="14"/>
  <c r="G39" i="14" s="1"/>
  <c r="D39" i="14"/>
  <c r="N38" i="14"/>
  <c r="J38" i="14"/>
  <c r="L38" i="14" s="1"/>
  <c r="E38" i="14"/>
  <c r="G38" i="14" s="1"/>
  <c r="D38" i="14"/>
  <c r="N37" i="14"/>
  <c r="L37" i="14"/>
  <c r="J37" i="14"/>
  <c r="E37" i="14"/>
  <c r="G37" i="14" s="1"/>
  <c r="D37" i="14"/>
  <c r="N36" i="14"/>
  <c r="J36" i="14"/>
  <c r="L36" i="14" s="1"/>
  <c r="E36" i="14"/>
  <c r="G36" i="14" s="1"/>
  <c r="D36" i="14"/>
  <c r="N35" i="14"/>
  <c r="L35" i="14"/>
  <c r="J35" i="14"/>
  <c r="E35" i="14"/>
  <c r="G35" i="14" s="1"/>
  <c r="D35" i="14"/>
  <c r="N34" i="14"/>
  <c r="J34" i="14"/>
  <c r="L34" i="14" s="1"/>
  <c r="E34" i="14"/>
  <c r="G34" i="14" s="1"/>
  <c r="D34" i="14"/>
  <c r="L33" i="14"/>
  <c r="J33" i="14"/>
  <c r="E33" i="14"/>
  <c r="G33" i="14" s="1"/>
  <c r="D33" i="14"/>
  <c r="N32" i="14"/>
  <c r="J32" i="14"/>
  <c r="L32" i="14" s="1"/>
  <c r="E32" i="14"/>
  <c r="G32" i="14" s="1"/>
  <c r="D32" i="14"/>
  <c r="N31" i="14"/>
  <c r="J31" i="14"/>
  <c r="L31" i="14" s="1"/>
  <c r="E31" i="14"/>
  <c r="G31" i="14" s="1"/>
  <c r="D31" i="14"/>
  <c r="L30" i="14"/>
  <c r="J30" i="14"/>
  <c r="E30" i="14"/>
  <c r="G30" i="14" s="1"/>
  <c r="D30" i="14"/>
  <c r="J29" i="14"/>
  <c r="L29" i="14" s="1"/>
  <c r="E29" i="14"/>
  <c r="G29" i="14" s="1"/>
  <c r="D29" i="14"/>
  <c r="J28" i="14"/>
  <c r="L28" i="14" s="1"/>
  <c r="E28" i="14"/>
  <c r="G28" i="14" s="1"/>
  <c r="D28" i="14"/>
  <c r="L27" i="14"/>
  <c r="J27" i="14"/>
  <c r="J56" i="14" s="1"/>
  <c r="E27" i="14"/>
  <c r="G27" i="14" s="1"/>
  <c r="D27" i="14"/>
  <c r="L26" i="14"/>
  <c r="J26" i="14"/>
  <c r="E26" i="14"/>
  <c r="G26" i="14" s="1"/>
  <c r="D26" i="14"/>
  <c r="L25" i="14"/>
  <c r="J25" i="14"/>
  <c r="E25" i="14"/>
  <c r="G25" i="14" s="1"/>
  <c r="D25" i="14"/>
  <c r="I24" i="14"/>
  <c r="L24" i="14" s="1"/>
  <c r="G24" i="14"/>
  <c r="E24" i="14"/>
  <c r="D24" i="14"/>
  <c r="I23" i="14"/>
  <c r="L23" i="14" s="1"/>
  <c r="E23" i="14"/>
  <c r="G23" i="14" s="1"/>
  <c r="D23" i="14"/>
  <c r="L22" i="14"/>
  <c r="I22" i="14"/>
  <c r="E22" i="14"/>
  <c r="G22" i="14" s="1"/>
  <c r="D22" i="14"/>
  <c r="I21" i="14"/>
  <c r="L21" i="14" s="1"/>
  <c r="G21" i="14"/>
  <c r="E21" i="14"/>
  <c r="D21" i="14"/>
  <c r="I20" i="14"/>
  <c r="L20" i="14" s="1"/>
  <c r="G20" i="14"/>
  <c r="E20" i="14"/>
  <c r="D20" i="14"/>
  <c r="L19" i="14"/>
  <c r="I19" i="14"/>
  <c r="I56" i="14" s="1"/>
  <c r="G19" i="14"/>
  <c r="E19" i="14"/>
  <c r="D19" i="14"/>
  <c r="D56" i="14" s="1"/>
  <c r="B61" i="14" s="1"/>
  <c r="L18" i="14"/>
  <c r="I18" i="14"/>
  <c r="E18" i="14"/>
  <c r="G18" i="14" s="1"/>
  <c r="D18" i="14"/>
  <c r="L17" i="14"/>
  <c r="I17" i="14"/>
  <c r="E17" i="14"/>
  <c r="G17" i="14" s="1"/>
  <c r="D17" i="14"/>
  <c r="G11" i="14"/>
  <c r="L7" i="14"/>
  <c r="A7" i="14"/>
  <c r="H81" i="13"/>
  <c r="B81" i="13"/>
  <c r="B82" i="13" s="1"/>
  <c r="B83" i="13" s="1"/>
  <c r="B84" i="13" s="1"/>
  <c r="H80" i="13"/>
  <c r="B80" i="13"/>
  <c r="K56" i="13"/>
  <c r="L55" i="13"/>
  <c r="G55" i="13"/>
  <c r="D55" i="13"/>
  <c r="L54" i="13"/>
  <c r="G54" i="13"/>
  <c r="D54" i="13"/>
  <c r="L53" i="13"/>
  <c r="G53" i="13"/>
  <c r="D53" i="13"/>
  <c r="L52" i="13"/>
  <c r="G52" i="13"/>
  <c r="D52" i="13"/>
  <c r="L51" i="13"/>
  <c r="B56" i="13" s="1"/>
  <c r="G51" i="13"/>
  <c r="D51" i="13"/>
  <c r="E50" i="13"/>
  <c r="G50" i="13" s="1"/>
  <c r="D50" i="13"/>
  <c r="G49" i="13"/>
  <c r="D49" i="13"/>
  <c r="N48" i="13"/>
  <c r="L48" i="13"/>
  <c r="J48" i="13"/>
  <c r="E48" i="13"/>
  <c r="G48" i="13" s="1"/>
  <c r="D48" i="13"/>
  <c r="L47" i="13"/>
  <c r="K47" i="13"/>
  <c r="E47" i="13"/>
  <c r="G47" i="13" s="1"/>
  <c r="H47" i="13" s="1"/>
  <c r="D47" i="13"/>
  <c r="L46" i="13"/>
  <c r="K46" i="13"/>
  <c r="E46" i="13"/>
  <c r="G46" i="13" s="1"/>
  <c r="H46" i="13" s="1"/>
  <c r="D46" i="13"/>
  <c r="L45" i="13"/>
  <c r="K45" i="13"/>
  <c r="E45" i="13"/>
  <c r="G45" i="13" s="1"/>
  <c r="H45" i="13" s="1"/>
  <c r="D45" i="13"/>
  <c r="L44" i="13"/>
  <c r="K44" i="13"/>
  <c r="E44" i="13"/>
  <c r="G44" i="13" s="1"/>
  <c r="H44" i="13" s="1"/>
  <c r="D44" i="13"/>
  <c r="L43" i="13"/>
  <c r="K43" i="13"/>
  <c r="E43" i="13"/>
  <c r="G43" i="13" s="1"/>
  <c r="H43" i="13" s="1"/>
  <c r="D43" i="13"/>
  <c r="L42" i="13"/>
  <c r="E42" i="13"/>
  <c r="G42" i="13" s="1"/>
  <c r="D42" i="13"/>
  <c r="L41" i="13"/>
  <c r="E41" i="13"/>
  <c r="G41" i="13" s="1"/>
  <c r="D41" i="13"/>
  <c r="N40" i="13"/>
  <c r="J40" i="13"/>
  <c r="L40" i="13" s="1"/>
  <c r="E40" i="13"/>
  <c r="G40" i="13" s="1"/>
  <c r="D40" i="13"/>
  <c r="N39" i="13"/>
  <c r="J39" i="13"/>
  <c r="L39" i="13" s="1"/>
  <c r="E39" i="13"/>
  <c r="G39" i="13" s="1"/>
  <c r="D39" i="13"/>
  <c r="N38" i="13"/>
  <c r="J38" i="13"/>
  <c r="L38" i="13" s="1"/>
  <c r="E38" i="13"/>
  <c r="G38" i="13" s="1"/>
  <c r="D38" i="13"/>
  <c r="N37" i="13"/>
  <c r="J37" i="13"/>
  <c r="L37" i="13" s="1"/>
  <c r="E37" i="13"/>
  <c r="G37" i="13" s="1"/>
  <c r="D37" i="13"/>
  <c r="N36" i="13"/>
  <c r="J36" i="13"/>
  <c r="L36" i="13" s="1"/>
  <c r="E36" i="13"/>
  <c r="G36" i="13" s="1"/>
  <c r="D36" i="13"/>
  <c r="N35" i="13"/>
  <c r="J35" i="13"/>
  <c r="L35" i="13" s="1"/>
  <c r="E35" i="13"/>
  <c r="G35" i="13" s="1"/>
  <c r="D35" i="13"/>
  <c r="N34" i="13"/>
  <c r="J34" i="13"/>
  <c r="L34" i="13" s="1"/>
  <c r="E34" i="13"/>
  <c r="G34" i="13" s="1"/>
  <c r="D34" i="13"/>
  <c r="L33" i="13"/>
  <c r="J33" i="13"/>
  <c r="E33" i="13"/>
  <c r="G33" i="13" s="1"/>
  <c r="D33" i="13"/>
  <c r="N32" i="13"/>
  <c r="L32" i="13"/>
  <c r="J32" i="13"/>
  <c r="E32" i="13"/>
  <c r="G32" i="13" s="1"/>
  <c r="D32" i="13"/>
  <c r="N31" i="13"/>
  <c r="L31" i="13"/>
  <c r="J31" i="13"/>
  <c r="E31" i="13"/>
  <c r="G31" i="13" s="1"/>
  <c r="D31" i="13"/>
  <c r="J30" i="13"/>
  <c r="L30" i="13" s="1"/>
  <c r="E30" i="13"/>
  <c r="G30" i="13" s="1"/>
  <c r="D30" i="13"/>
  <c r="L29" i="13"/>
  <c r="J29" i="13"/>
  <c r="E29" i="13"/>
  <c r="G29" i="13" s="1"/>
  <c r="D29" i="13"/>
  <c r="J28" i="13"/>
  <c r="L28" i="13" s="1"/>
  <c r="E28" i="13"/>
  <c r="G28" i="13" s="1"/>
  <c r="D28" i="13"/>
  <c r="L27" i="13"/>
  <c r="J27" i="13"/>
  <c r="E27" i="13"/>
  <c r="G27" i="13" s="1"/>
  <c r="D27" i="13"/>
  <c r="J26" i="13"/>
  <c r="L26" i="13" s="1"/>
  <c r="E26" i="13"/>
  <c r="G26" i="13" s="1"/>
  <c r="D26" i="13"/>
  <c r="L25" i="13"/>
  <c r="J25" i="13"/>
  <c r="J56" i="13" s="1"/>
  <c r="E25" i="13"/>
  <c r="G25" i="13" s="1"/>
  <c r="D25" i="13"/>
  <c r="I24" i="13"/>
  <c r="L24" i="13" s="1"/>
  <c r="E24" i="13"/>
  <c r="G24" i="13" s="1"/>
  <c r="D24" i="13"/>
  <c r="L23" i="13"/>
  <c r="I23" i="13"/>
  <c r="G23" i="13"/>
  <c r="E23" i="13"/>
  <c r="D23" i="13"/>
  <c r="I22" i="13"/>
  <c r="L22" i="13" s="1"/>
  <c r="E22" i="13"/>
  <c r="G22" i="13" s="1"/>
  <c r="D22" i="13"/>
  <c r="L21" i="13"/>
  <c r="I21" i="13"/>
  <c r="G21" i="13"/>
  <c r="E21" i="13"/>
  <c r="D21" i="13"/>
  <c r="I20" i="13"/>
  <c r="L20" i="13" s="1"/>
  <c r="E20" i="13"/>
  <c r="G20" i="13" s="1"/>
  <c r="D20" i="13"/>
  <c r="L19" i="13"/>
  <c r="I19" i="13"/>
  <c r="G19" i="13"/>
  <c r="E19" i="13"/>
  <c r="D19" i="13"/>
  <c r="I18" i="13"/>
  <c r="L18" i="13" s="1"/>
  <c r="E18" i="13"/>
  <c r="G18" i="13" s="1"/>
  <c r="D18" i="13"/>
  <c r="L17" i="13"/>
  <c r="I17" i="13"/>
  <c r="I56" i="13" s="1"/>
  <c r="G17" i="13"/>
  <c r="E17" i="13"/>
  <c r="D17" i="13"/>
  <c r="D56" i="13" s="1"/>
  <c r="B61" i="13" s="1"/>
  <c r="G11" i="13"/>
  <c r="L7" i="13"/>
  <c r="A7" i="13"/>
  <c r="B82" i="12"/>
  <c r="B83" i="12" s="1"/>
  <c r="B84" i="12" s="1"/>
  <c r="H81" i="12"/>
  <c r="B81" i="12"/>
  <c r="H80" i="12"/>
  <c r="B80" i="12"/>
  <c r="K56" i="12"/>
  <c r="L55" i="12"/>
  <c r="B56" i="12" s="1"/>
  <c r="G55" i="12"/>
  <c r="D55" i="12"/>
  <c r="L54" i="12"/>
  <c r="G54" i="12"/>
  <c r="D54" i="12"/>
  <c r="L53" i="12"/>
  <c r="G53" i="12"/>
  <c r="D53" i="12"/>
  <c r="L52" i="12"/>
  <c r="G52" i="12"/>
  <c r="D52" i="12"/>
  <c r="L51" i="12"/>
  <c r="G51" i="12"/>
  <c r="D51" i="12"/>
  <c r="E50" i="12"/>
  <c r="G50" i="12" s="1"/>
  <c r="D50" i="12"/>
  <c r="G49" i="12"/>
  <c r="D49" i="12"/>
  <c r="N48" i="12"/>
  <c r="L48" i="12"/>
  <c r="J48" i="12"/>
  <c r="E48" i="12"/>
  <c r="G48" i="12" s="1"/>
  <c r="D48" i="12"/>
  <c r="L47" i="12"/>
  <c r="K47" i="12"/>
  <c r="E47" i="12"/>
  <c r="G47" i="12" s="1"/>
  <c r="H47" i="12" s="1"/>
  <c r="D47" i="12"/>
  <c r="L46" i="12"/>
  <c r="K46" i="12"/>
  <c r="E46" i="12"/>
  <c r="G46" i="12" s="1"/>
  <c r="H46" i="12" s="1"/>
  <c r="D46" i="12"/>
  <c r="K45" i="12"/>
  <c r="L45" i="12" s="1"/>
  <c r="E45" i="12"/>
  <c r="G45" i="12" s="1"/>
  <c r="H45" i="12" s="1"/>
  <c r="D45" i="12"/>
  <c r="L44" i="12"/>
  <c r="K44" i="12"/>
  <c r="E44" i="12"/>
  <c r="G44" i="12" s="1"/>
  <c r="H44" i="12" s="1"/>
  <c r="D44" i="12"/>
  <c r="L43" i="12"/>
  <c r="K43" i="12"/>
  <c r="E43" i="12"/>
  <c r="G43" i="12" s="1"/>
  <c r="H43" i="12" s="1"/>
  <c r="D43" i="12"/>
  <c r="L42" i="12"/>
  <c r="E42" i="12"/>
  <c r="G42" i="12" s="1"/>
  <c r="D42" i="12"/>
  <c r="L41" i="12"/>
  <c r="E41" i="12"/>
  <c r="G41" i="12" s="1"/>
  <c r="D41" i="12"/>
  <c r="N40" i="12"/>
  <c r="J40" i="12"/>
  <c r="L40" i="12" s="1"/>
  <c r="E40" i="12"/>
  <c r="G40" i="12" s="1"/>
  <c r="D40" i="12"/>
  <c r="N39" i="12"/>
  <c r="J39" i="12"/>
  <c r="L39" i="12" s="1"/>
  <c r="E39" i="12"/>
  <c r="G39" i="12" s="1"/>
  <c r="D39" i="12"/>
  <c r="N38" i="12"/>
  <c r="J38" i="12"/>
  <c r="L38" i="12" s="1"/>
  <c r="E38" i="12"/>
  <c r="G38" i="12" s="1"/>
  <c r="D38" i="12"/>
  <c r="N37" i="12"/>
  <c r="J37" i="12"/>
  <c r="L37" i="12" s="1"/>
  <c r="E37" i="12"/>
  <c r="G37" i="12" s="1"/>
  <c r="D37" i="12"/>
  <c r="N36" i="12"/>
  <c r="J36" i="12"/>
  <c r="L36" i="12" s="1"/>
  <c r="E36" i="12"/>
  <c r="G36" i="12" s="1"/>
  <c r="D36" i="12"/>
  <c r="N35" i="12"/>
  <c r="J35" i="12"/>
  <c r="L35" i="12" s="1"/>
  <c r="E35" i="12"/>
  <c r="G35" i="12" s="1"/>
  <c r="D35" i="12"/>
  <c r="N34" i="12"/>
  <c r="J34" i="12"/>
  <c r="L34" i="12" s="1"/>
  <c r="E34" i="12"/>
  <c r="G34" i="12" s="1"/>
  <c r="D34" i="12"/>
  <c r="L33" i="12"/>
  <c r="J33" i="12"/>
  <c r="E33" i="12"/>
  <c r="G33" i="12" s="1"/>
  <c r="D33" i="12"/>
  <c r="N32" i="12"/>
  <c r="L32" i="12"/>
  <c r="J32" i="12"/>
  <c r="E32" i="12"/>
  <c r="G32" i="12" s="1"/>
  <c r="D32" i="12"/>
  <c r="N31" i="12"/>
  <c r="J31" i="12"/>
  <c r="L31" i="12" s="1"/>
  <c r="E31" i="12"/>
  <c r="G31" i="12" s="1"/>
  <c r="D31" i="12"/>
  <c r="J30" i="12"/>
  <c r="L30" i="12" s="1"/>
  <c r="E30" i="12"/>
  <c r="G30" i="12" s="1"/>
  <c r="D30" i="12"/>
  <c r="L29" i="12"/>
  <c r="J29" i="12"/>
  <c r="E29" i="12"/>
  <c r="G29" i="12" s="1"/>
  <c r="D29" i="12"/>
  <c r="J28" i="12"/>
  <c r="L28" i="12" s="1"/>
  <c r="E28" i="12"/>
  <c r="G28" i="12" s="1"/>
  <c r="D28" i="12"/>
  <c r="L27" i="12"/>
  <c r="J27" i="12"/>
  <c r="E27" i="12"/>
  <c r="G27" i="12" s="1"/>
  <c r="D27" i="12"/>
  <c r="J26" i="12"/>
  <c r="L26" i="12" s="1"/>
  <c r="E26" i="12"/>
  <c r="G26" i="12" s="1"/>
  <c r="D26" i="12"/>
  <c r="L25" i="12"/>
  <c r="J25" i="12"/>
  <c r="J56" i="12" s="1"/>
  <c r="E25" i="12"/>
  <c r="G25" i="12" s="1"/>
  <c r="D25" i="12"/>
  <c r="I24" i="12"/>
  <c r="L24" i="12" s="1"/>
  <c r="E24" i="12"/>
  <c r="G24" i="12" s="1"/>
  <c r="D24" i="12"/>
  <c r="I23" i="12"/>
  <c r="L23" i="12" s="1"/>
  <c r="G23" i="12"/>
  <c r="E23" i="12"/>
  <c r="D23" i="12"/>
  <c r="I22" i="12"/>
  <c r="L22" i="12" s="1"/>
  <c r="E22" i="12"/>
  <c r="G22" i="12" s="1"/>
  <c r="D22" i="12"/>
  <c r="L21" i="12"/>
  <c r="I21" i="12"/>
  <c r="G21" i="12"/>
  <c r="E21" i="12"/>
  <c r="D21" i="12"/>
  <c r="I20" i="12"/>
  <c r="L20" i="12" s="1"/>
  <c r="E20" i="12"/>
  <c r="G20" i="12" s="1"/>
  <c r="D20" i="12"/>
  <c r="L19" i="12"/>
  <c r="I19" i="12"/>
  <c r="G19" i="12"/>
  <c r="E19" i="12"/>
  <c r="D19" i="12"/>
  <c r="I18" i="12"/>
  <c r="L18" i="12" s="1"/>
  <c r="E18" i="12"/>
  <c r="G18" i="12" s="1"/>
  <c r="D18" i="12"/>
  <c r="L17" i="12"/>
  <c r="I17" i="12"/>
  <c r="I56" i="12" s="1"/>
  <c r="E17" i="12"/>
  <c r="D17" i="12"/>
  <c r="D56" i="12" s="1"/>
  <c r="B61" i="12" s="1"/>
  <c r="G11" i="12"/>
  <c r="L7" i="12"/>
  <c r="A7" i="12"/>
  <c r="H56" i="17" l="1"/>
  <c r="B63" i="17" s="1"/>
  <c r="E56" i="13"/>
  <c r="E56" i="17"/>
  <c r="H56" i="13"/>
  <c r="B63" i="13" s="1"/>
  <c r="G56" i="15"/>
  <c r="H56" i="16"/>
  <c r="B63" i="16" s="1"/>
  <c r="E56" i="16"/>
  <c r="E56" i="18"/>
  <c r="E56" i="15"/>
  <c r="L56" i="18"/>
  <c r="H56" i="18"/>
  <c r="B63" i="18" s="1"/>
  <c r="G17" i="18"/>
  <c r="G56" i="18" s="1"/>
  <c r="B62" i="18" s="1"/>
  <c r="G17" i="17"/>
  <c r="G56" i="17" s="1"/>
  <c r="L17" i="17"/>
  <c r="L25" i="17"/>
  <c r="L56" i="16"/>
  <c r="G17" i="16"/>
  <c r="G56" i="16" s="1"/>
  <c r="H87" i="15"/>
  <c r="N11" i="15"/>
  <c r="D87" i="15"/>
  <c r="L11" i="15"/>
  <c r="B57" i="15"/>
  <c r="H56" i="15"/>
  <c r="B63" i="15" s="1"/>
  <c r="L56" i="14"/>
  <c r="G56" i="14"/>
  <c r="H56" i="14"/>
  <c r="B63" i="14" s="1"/>
  <c r="E56" i="14"/>
  <c r="L56" i="13"/>
  <c r="G56" i="13"/>
  <c r="B62" i="13" s="1"/>
  <c r="E56" i="12"/>
  <c r="H56" i="12"/>
  <c r="B63" i="12" s="1"/>
  <c r="L56" i="12"/>
  <c r="G17" i="12"/>
  <c r="G56" i="12" s="1"/>
  <c r="B62" i="12" s="1"/>
  <c r="D51" i="2"/>
  <c r="D17" i="2"/>
  <c r="D18" i="2"/>
  <c r="D19" i="2"/>
  <c r="D20" i="2"/>
  <c r="D21" i="2"/>
  <c r="D22" i="2"/>
  <c r="D23" i="2"/>
  <c r="D24" i="2"/>
  <c r="D25" i="2"/>
  <c r="D26" i="2"/>
  <c r="D27" i="2"/>
  <c r="D28" i="2"/>
  <c r="D29" i="2"/>
  <c r="D30" i="2"/>
  <c r="D31" i="2"/>
  <c r="D32" i="2"/>
  <c r="D33" i="2"/>
  <c r="D34" i="2"/>
  <c r="D35" i="2"/>
  <c r="D36" i="2"/>
  <c r="D37" i="2"/>
  <c r="D38" i="2"/>
  <c r="D39" i="2"/>
  <c r="D40" i="2"/>
  <c r="D41" i="2"/>
  <c r="D42" i="2"/>
  <c r="D43" i="2"/>
  <c r="D44" i="2"/>
  <c r="D45" i="2"/>
  <c r="D46" i="2"/>
  <c r="D47" i="2"/>
  <c r="D48" i="2"/>
  <c r="D49" i="2"/>
  <c r="D52" i="2"/>
  <c r="D53" i="2"/>
  <c r="D54" i="2"/>
  <c r="D55" i="2"/>
  <c r="B62" i="16" l="1"/>
  <c r="B62" i="14"/>
  <c r="B64" i="14" s="1"/>
  <c r="H71" i="14" s="1"/>
  <c r="H69" i="14" s="1"/>
  <c r="H70" i="14" s="1"/>
  <c r="B62" i="15"/>
  <c r="B64" i="15" s="1"/>
  <c r="B62" i="17"/>
  <c r="B64" i="17" s="1"/>
  <c r="D77" i="17" s="1"/>
  <c r="D75" i="17" s="1"/>
  <c r="D76" i="17" s="1"/>
  <c r="C33" i="1"/>
  <c r="C36" i="1"/>
  <c r="C31" i="1"/>
  <c r="B64" i="13"/>
  <c r="D77" i="13" s="1"/>
  <c r="D75" i="13" s="1"/>
  <c r="D76" i="13" s="1"/>
  <c r="C32" i="1"/>
  <c r="B64" i="16"/>
  <c r="F71" i="16" s="1"/>
  <c r="F69" i="16" s="1"/>
  <c r="F70" i="16" s="1"/>
  <c r="C35" i="1"/>
  <c r="B64" i="18"/>
  <c r="H71" i="18" s="1"/>
  <c r="H69" i="18" s="1"/>
  <c r="H70" i="18" s="1"/>
  <c r="C37" i="1"/>
  <c r="C34" i="1"/>
  <c r="H87" i="18"/>
  <c r="N11" i="18"/>
  <c r="D87" i="18"/>
  <c r="L11" i="18"/>
  <c r="B57" i="18"/>
  <c r="L56" i="17"/>
  <c r="H87" i="16"/>
  <c r="N11" i="16"/>
  <c r="D87" i="16"/>
  <c r="L11" i="16"/>
  <c r="B57" i="16"/>
  <c r="H87" i="14"/>
  <c r="D87" i="14"/>
  <c r="B57" i="14"/>
  <c r="N11" i="14"/>
  <c r="L11" i="14"/>
  <c r="H87" i="13"/>
  <c r="N11" i="13"/>
  <c r="D87" i="13"/>
  <c r="L11" i="13"/>
  <c r="B57" i="13"/>
  <c r="B64" i="12"/>
  <c r="H71" i="12" s="1"/>
  <c r="H69" i="12" s="1"/>
  <c r="H70" i="12" s="1"/>
  <c r="H87" i="12"/>
  <c r="N11" i="12"/>
  <c r="L11" i="12"/>
  <c r="D87" i="12"/>
  <c r="B57" i="12"/>
  <c r="E18" i="2"/>
  <c r="E19" i="2"/>
  <c r="E20" i="2"/>
  <c r="E21" i="2"/>
  <c r="E22" i="2"/>
  <c r="E23" i="2"/>
  <c r="E24" i="2"/>
  <c r="E17" i="2"/>
  <c r="G17" i="2" s="1"/>
  <c r="D71" i="17" l="1"/>
  <c r="D69" i="17" s="1"/>
  <c r="D70" i="17" s="1"/>
  <c r="L10" i="17"/>
  <c r="G77" i="17"/>
  <c r="G75" i="17" s="1"/>
  <c r="G76" i="17" s="1"/>
  <c r="G71" i="17"/>
  <c r="G69" i="17" s="1"/>
  <c r="G70" i="17" s="1"/>
  <c r="J77" i="17"/>
  <c r="J75" i="17" s="1"/>
  <c r="J76" i="17" s="1"/>
  <c r="B71" i="17"/>
  <c r="B69" i="17" s="1"/>
  <c r="B70" i="17" s="1"/>
  <c r="C77" i="17"/>
  <c r="C75" i="17" s="1"/>
  <c r="C76" i="17" s="1"/>
  <c r="E71" i="17"/>
  <c r="E69" i="17" s="1"/>
  <c r="E70" i="17" s="1"/>
  <c r="D71" i="14"/>
  <c r="D69" i="14" s="1"/>
  <c r="D70" i="14" s="1"/>
  <c r="H77" i="17"/>
  <c r="H75" i="17" s="1"/>
  <c r="H76" i="17" s="1"/>
  <c r="H71" i="17"/>
  <c r="H69" i="17" s="1"/>
  <c r="H70" i="17" s="1"/>
  <c r="E77" i="18"/>
  <c r="E75" i="18" s="1"/>
  <c r="E76" i="18" s="1"/>
  <c r="F77" i="17"/>
  <c r="F75" i="17" s="1"/>
  <c r="F76" i="17" s="1"/>
  <c r="E77" i="17"/>
  <c r="E75" i="17" s="1"/>
  <c r="E76" i="17" s="1"/>
  <c r="D86" i="17"/>
  <c r="I71" i="17"/>
  <c r="I69" i="17" s="1"/>
  <c r="I70" i="17" s="1"/>
  <c r="I71" i="18"/>
  <c r="I69" i="18" s="1"/>
  <c r="I70" i="18" s="1"/>
  <c r="G71" i="18"/>
  <c r="G69" i="18" s="1"/>
  <c r="G70" i="18" s="1"/>
  <c r="B77" i="14"/>
  <c r="B75" i="14" s="1"/>
  <c r="B76" i="14" s="1"/>
  <c r="N10" i="14"/>
  <c r="E77" i="14"/>
  <c r="E75" i="14" s="1"/>
  <c r="E76" i="14" s="1"/>
  <c r="F71" i="14"/>
  <c r="F69" i="14" s="1"/>
  <c r="F70" i="14" s="1"/>
  <c r="J71" i="16"/>
  <c r="J69" i="16" s="1"/>
  <c r="J70" i="16" s="1"/>
  <c r="I77" i="16"/>
  <c r="I75" i="16" s="1"/>
  <c r="I76" i="16" s="1"/>
  <c r="B71" i="14"/>
  <c r="B69" i="14" s="1"/>
  <c r="B70" i="14" s="1"/>
  <c r="B71" i="18"/>
  <c r="B69" i="18" s="1"/>
  <c r="B70" i="18" s="1"/>
  <c r="E71" i="18"/>
  <c r="E69" i="18" s="1"/>
  <c r="E70" i="18" s="1"/>
  <c r="F77" i="18"/>
  <c r="F75" i="18" s="1"/>
  <c r="F76" i="18" s="1"/>
  <c r="L10" i="18"/>
  <c r="F71" i="18"/>
  <c r="F69" i="18" s="1"/>
  <c r="F70" i="18" s="1"/>
  <c r="E71" i="16"/>
  <c r="E69" i="16" s="1"/>
  <c r="E70" i="16" s="1"/>
  <c r="D86" i="14"/>
  <c r="J77" i="16"/>
  <c r="J75" i="16" s="1"/>
  <c r="J76" i="16" s="1"/>
  <c r="I77" i="17"/>
  <c r="I75" i="17" s="1"/>
  <c r="I76" i="17" s="1"/>
  <c r="F71" i="17"/>
  <c r="F69" i="17" s="1"/>
  <c r="F70" i="17" s="1"/>
  <c r="D71" i="18"/>
  <c r="D69" i="18" s="1"/>
  <c r="D70" i="18" s="1"/>
  <c r="C77" i="16"/>
  <c r="C75" i="16" s="1"/>
  <c r="C76" i="16" s="1"/>
  <c r="I71" i="14"/>
  <c r="I69" i="14" s="1"/>
  <c r="I70" i="14" s="1"/>
  <c r="H86" i="14"/>
  <c r="F77" i="16"/>
  <c r="F75" i="16" s="1"/>
  <c r="F76" i="16" s="1"/>
  <c r="J71" i="17"/>
  <c r="J69" i="17" s="1"/>
  <c r="J70" i="17" s="1"/>
  <c r="N10" i="17"/>
  <c r="H86" i="17"/>
  <c r="B77" i="18"/>
  <c r="B75" i="18" s="1"/>
  <c r="B76" i="18" s="1"/>
  <c r="D77" i="16"/>
  <c r="D75" i="16" s="1"/>
  <c r="D76" i="16" s="1"/>
  <c r="H77" i="14"/>
  <c r="H75" i="14" s="1"/>
  <c r="H76" i="14" s="1"/>
  <c r="H77" i="16"/>
  <c r="H75" i="16" s="1"/>
  <c r="H76" i="16" s="1"/>
  <c r="C71" i="17"/>
  <c r="C69" i="17" s="1"/>
  <c r="C70" i="17" s="1"/>
  <c r="B77" i="17"/>
  <c r="B75" i="17" s="1"/>
  <c r="B76" i="17" s="1"/>
  <c r="C77" i="18"/>
  <c r="C75" i="18" s="1"/>
  <c r="C76" i="18" s="1"/>
  <c r="J71" i="12"/>
  <c r="J69" i="12" s="1"/>
  <c r="J70" i="12" s="1"/>
  <c r="D71" i="12"/>
  <c r="D69" i="12" s="1"/>
  <c r="D70" i="12" s="1"/>
  <c r="N10" i="12"/>
  <c r="B77" i="13"/>
  <c r="B75" i="13" s="1"/>
  <c r="B76" i="13" s="1"/>
  <c r="E77" i="12"/>
  <c r="E75" i="12" s="1"/>
  <c r="E76" i="12" s="1"/>
  <c r="I71" i="12"/>
  <c r="I69" i="12" s="1"/>
  <c r="I70" i="12" s="1"/>
  <c r="L10" i="14"/>
  <c r="G77" i="14"/>
  <c r="G75" i="14" s="1"/>
  <c r="G76" i="14" s="1"/>
  <c r="C71" i="16"/>
  <c r="C69" i="16" s="1"/>
  <c r="C70" i="16" s="1"/>
  <c r="N10" i="16"/>
  <c r="H86" i="16"/>
  <c r="F71" i="12"/>
  <c r="F69" i="12" s="1"/>
  <c r="F70" i="12" s="1"/>
  <c r="J71" i="13"/>
  <c r="J69" i="13" s="1"/>
  <c r="J70" i="13" s="1"/>
  <c r="J71" i="14"/>
  <c r="J69" i="14" s="1"/>
  <c r="J70" i="14" s="1"/>
  <c r="I77" i="14"/>
  <c r="I75" i="14" s="1"/>
  <c r="I76" i="14" s="1"/>
  <c r="C77" i="14"/>
  <c r="C75" i="14" s="1"/>
  <c r="C76" i="14" s="1"/>
  <c r="B71" i="16"/>
  <c r="B69" i="16" s="1"/>
  <c r="B70" i="16" s="1"/>
  <c r="B77" i="16"/>
  <c r="B75" i="16" s="1"/>
  <c r="B76" i="16" s="1"/>
  <c r="G71" i="16"/>
  <c r="G69" i="16" s="1"/>
  <c r="G70" i="16" s="1"/>
  <c r="N10" i="13"/>
  <c r="F77" i="14"/>
  <c r="F75" i="14" s="1"/>
  <c r="F76" i="14" s="1"/>
  <c r="E71" i="14"/>
  <c r="E69" i="14" s="1"/>
  <c r="E70" i="14" s="1"/>
  <c r="G71" i="14"/>
  <c r="G69" i="14" s="1"/>
  <c r="G70" i="14" s="1"/>
  <c r="G77" i="16"/>
  <c r="G75" i="16" s="1"/>
  <c r="G76" i="16" s="1"/>
  <c r="D86" i="16"/>
  <c r="H71" i="16"/>
  <c r="H69" i="16" s="1"/>
  <c r="H70" i="16" s="1"/>
  <c r="I71" i="16"/>
  <c r="I69" i="16" s="1"/>
  <c r="I70" i="16" s="1"/>
  <c r="E77" i="16"/>
  <c r="E75" i="16" s="1"/>
  <c r="E76" i="16" s="1"/>
  <c r="D77" i="14"/>
  <c r="D75" i="14" s="1"/>
  <c r="D76" i="14" s="1"/>
  <c r="L10" i="16"/>
  <c r="L10" i="12"/>
  <c r="C71" i="14"/>
  <c r="C69" i="14" s="1"/>
  <c r="C70" i="14" s="1"/>
  <c r="J77" i="14"/>
  <c r="J75" i="14" s="1"/>
  <c r="J76" i="14" s="1"/>
  <c r="D71" i="16"/>
  <c r="D69" i="16" s="1"/>
  <c r="D70" i="16" s="1"/>
  <c r="N10" i="15"/>
  <c r="I77" i="15"/>
  <c r="I75" i="15" s="1"/>
  <c r="I76" i="15" s="1"/>
  <c r="F77" i="15"/>
  <c r="F75" i="15" s="1"/>
  <c r="F76" i="15" s="1"/>
  <c r="D77" i="15"/>
  <c r="D75" i="15" s="1"/>
  <c r="D76" i="15" s="1"/>
  <c r="H86" i="15"/>
  <c r="D71" i="15"/>
  <c r="D69" i="15" s="1"/>
  <c r="D70" i="15" s="1"/>
  <c r="I71" i="15"/>
  <c r="I69" i="15" s="1"/>
  <c r="I70" i="15" s="1"/>
  <c r="E77" i="15"/>
  <c r="E75" i="15" s="1"/>
  <c r="E76" i="15" s="1"/>
  <c r="J71" i="15"/>
  <c r="J69" i="15" s="1"/>
  <c r="J70" i="15" s="1"/>
  <c r="G71" i="15"/>
  <c r="G69" i="15" s="1"/>
  <c r="G70" i="15" s="1"/>
  <c r="C77" i="15"/>
  <c r="C75" i="15" s="1"/>
  <c r="C76" i="15" s="1"/>
  <c r="L10" i="15"/>
  <c r="H77" i="15"/>
  <c r="H75" i="15" s="1"/>
  <c r="H76" i="15" s="1"/>
  <c r="F71" i="15"/>
  <c r="F69" i="15" s="1"/>
  <c r="F70" i="15" s="1"/>
  <c r="D86" i="15"/>
  <c r="C71" i="15"/>
  <c r="C69" i="15" s="1"/>
  <c r="C70" i="15" s="1"/>
  <c r="E71" i="15"/>
  <c r="E69" i="15" s="1"/>
  <c r="E70" i="15" s="1"/>
  <c r="H71" i="15"/>
  <c r="H69" i="15" s="1"/>
  <c r="H70" i="15" s="1"/>
  <c r="J77" i="15"/>
  <c r="J75" i="15" s="1"/>
  <c r="J76" i="15" s="1"/>
  <c r="G77" i="15"/>
  <c r="G75" i="15" s="1"/>
  <c r="G76" i="15" s="1"/>
  <c r="B77" i="15"/>
  <c r="B75" i="15" s="1"/>
  <c r="B76" i="15" s="1"/>
  <c r="B71" i="15"/>
  <c r="B69" i="15" s="1"/>
  <c r="B70" i="15" s="1"/>
  <c r="E71" i="12"/>
  <c r="E69" i="12" s="1"/>
  <c r="E70" i="12" s="1"/>
  <c r="C71" i="13"/>
  <c r="C69" i="13" s="1"/>
  <c r="C70" i="13" s="1"/>
  <c r="D86" i="13"/>
  <c r="E77" i="13"/>
  <c r="E75" i="13" s="1"/>
  <c r="E76" i="13" s="1"/>
  <c r="I77" i="18"/>
  <c r="I75" i="18" s="1"/>
  <c r="I76" i="18" s="1"/>
  <c r="H86" i="18"/>
  <c r="G77" i="13"/>
  <c r="G75" i="13" s="1"/>
  <c r="G76" i="13" s="1"/>
  <c r="H77" i="13"/>
  <c r="H75" i="13" s="1"/>
  <c r="H76" i="13" s="1"/>
  <c r="F71" i="13"/>
  <c r="F69" i="13" s="1"/>
  <c r="F70" i="13" s="1"/>
  <c r="L10" i="13"/>
  <c r="C77" i="13"/>
  <c r="C75" i="13" s="1"/>
  <c r="C76" i="13" s="1"/>
  <c r="B71" i="12"/>
  <c r="B69" i="12" s="1"/>
  <c r="B70" i="12" s="1"/>
  <c r="H86" i="12"/>
  <c r="I71" i="13"/>
  <c r="I69" i="13" s="1"/>
  <c r="I70" i="13" s="1"/>
  <c r="D71" i="13"/>
  <c r="D69" i="13" s="1"/>
  <c r="D70" i="13" s="1"/>
  <c r="H86" i="13"/>
  <c r="G77" i="18"/>
  <c r="G75" i="18" s="1"/>
  <c r="G76" i="18" s="1"/>
  <c r="J77" i="18"/>
  <c r="J75" i="18" s="1"/>
  <c r="J76" i="18" s="1"/>
  <c r="D77" i="18"/>
  <c r="D75" i="18" s="1"/>
  <c r="D76" i="18" s="1"/>
  <c r="J77" i="13"/>
  <c r="J75" i="13" s="1"/>
  <c r="J76" i="13" s="1"/>
  <c r="F77" i="13"/>
  <c r="F75" i="13" s="1"/>
  <c r="F76" i="13" s="1"/>
  <c r="I77" i="13"/>
  <c r="I75" i="13" s="1"/>
  <c r="I76" i="13" s="1"/>
  <c r="G71" i="13"/>
  <c r="G69" i="13" s="1"/>
  <c r="G70" i="13" s="1"/>
  <c r="C71" i="18"/>
  <c r="C69" i="18" s="1"/>
  <c r="C70" i="18" s="1"/>
  <c r="D86" i="18"/>
  <c r="J71" i="18"/>
  <c r="J69" i="18" s="1"/>
  <c r="J70" i="18" s="1"/>
  <c r="H71" i="13"/>
  <c r="H69" i="13" s="1"/>
  <c r="H70" i="13" s="1"/>
  <c r="B71" i="13"/>
  <c r="B69" i="13" s="1"/>
  <c r="B70" i="13" s="1"/>
  <c r="E71" i="13"/>
  <c r="E69" i="13" s="1"/>
  <c r="E70" i="13" s="1"/>
  <c r="H77" i="18"/>
  <c r="H75" i="18" s="1"/>
  <c r="H76" i="18" s="1"/>
  <c r="N10" i="18"/>
  <c r="H87" i="17"/>
  <c r="N11" i="17"/>
  <c r="D87" i="17"/>
  <c r="L11" i="17"/>
  <c r="B57" i="17"/>
  <c r="I77" i="12"/>
  <c r="I75" i="12" s="1"/>
  <c r="I76" i="12" s="1"/>
  <c r="C77" i="12"/>
  <c r="C75" i="12" s="1"/>
  <c r="C76" i="12" s="1"/>
  <c r="G77" i="12"/>
  <c r="G75" i="12" s="1"/>
  <c r="G76" i="12" s="1"/>
  <c r="B77" i="12"/>
  <c r="B75" i="12" s="1"/>
  <c r="B76" i="12" s="1"/>
  <c r="G71" i="12"/>
  <c r="G69" i="12" s="1"/>
  <c r="G70" i="12" s="1"/>
  <c r="F77" i="12"/>
  <c r="F75" i="12" s="1"/>
  <c r="F76" i="12" s="1"/>
  <c r="C71" i="12"/>
  <c r="C69" i="12" s="1"/>
  <c r="C70" i="12" s="1"/>
  <c r="J77" i="12"/>
  <c r="J75" i="12" s="1"/>
  <c r="J76" i="12" s="1"/>
  <c r="D77" i="12"/>
  <c r="D75" i="12" s="1"/>
  <c r="D76" i="12" s="1"/>
  <c r="H77" i="12"/>
  <c r="H75" i="12" s="1"/>
  <c r="H76" i="12" s="1"/>
  <c r="D86" i="12"/>
  <c r="N34" i="2"/>
  <c r="N48" i="2"/>
  <c r="N32" i="2"/>
  <c r="N31" i="2"/>
  <c r="F29" i="10" l="1"/>
  <c r="F30" i="10"/>
  <c r="H30" i="10" s="1"/>
  <c r="F36" i="1"/>
  <c r="G30" i="10" l="1"/>
  <c r="G11" i="2"/>
  <c r="B81" i="2" l="1"/>
  <c r="H81" i="2" s="1"/>
  <c r="B80" i="2"/>
  <c r="H80" i="2" s="1"/>
  <c r="J40" i="2"/>
  <c r="L40" i="2" s="1"/>
  <c r="J38" i="2"/>
  <c r="L38" i="2" s="1"/>
  <c r="J31" i="2"/>
  <c r="L31" i="2" s="1"/>
  <c r="J32" i="2"/>
  <c r="L32" i="2" s="1"/>
  <c r="J33" i="2"/>
  <c r="L33" i="2" s="1"/>
  <c r="J34" i="2"/>
  <c r="L34" i="2" s="1"/>
  <c r="J35" i="2"/>
  <c r="L35" i="2" s="1"/>
  <c r="J36" i="2"/>
  <c r="L36" i="2" s="1"/>
  <c r="J30" i="2"/>
  <c r="L30" i="2" s="1"/>
  <c r="J27" i="2"/>
  <c r="L27" i="2" s="1"/>
  <c r="J28" i="2"/>
  <c r="L28" i="2" s="1"/>
  <c r="J26" i="2"/>
  <c r="L26" i="2" s="1"/>
  <c r="L55" i="2"/>
  <c r="L54" i="2"/>
  <c r="L53" i="2"/>
  <c r="L52" i="2"/>
  <c r="L51" i="2"/>
  <c r="L48" i="2"/>
  <c r="L42" i="2"/>
  <c r="L41" i="2"/>
  <c r="I17" i="2"/>
  <c r="I18" i="2"/>
  <c r="L18" i="2" s="1"/>
  <c r="I19" i="2"/>
  <c r="L19" i="2" s="1"/>
  <c r="I20" i="2"/>
  <c r="L20" i="2" s="1"/>
  <c r="I21" i="2"/>
  <c r="L21" i="2" s="1"/>
  <c r="I22" i="2"/>
  <c r="L22" i="2" s="1"/>
  <c r="I23" i="2"/>
  <c r="L23" i="2" s="1"/>
  <c r="I24" i="2"/>
  <c r="L24" i="2" s="1"/>
  <c r="J25" i="2"/>
  <c r="J29" i="2"/>
  <c r="L29" i="2" s="1"/>
  <c r="N35" i="2"/>
  <c r="N36" i="2"/>
  <c r="N37" i="2"/>
  <c r="J37" i="2"/>
  <c r="L37" i="2" s="1"/>
  <c r="N38" i="2"/>
  <c r="N39" i="2"/>
  <c r="J39" i="2"/>
  <c r="L39" i="2" s="1"/>
  <c r="N40" i="2"/>
  <c r="K43" i="2"/>
  <c r="K44" i="2"/>
  <c r="L44" i="2" s="1"/>
  <c r="K45" i="2"/>
  <c r="L45" i="2" s="1"/>
  <c r="K46" i="2"/>
  <c r="L46" i="2" s="1"/>
  <c r="K47" i="2"/>
  <c r="L47" i="2" s="1"/>
  <c r="J48" i="2"/>
  <c r="A7" i="2"/>
  <c r="L56" i="2" l="1"/>
  <c r="B82" i="2"/>
  <c r="B83" i="2" s="1"/>
  <c r="B84" i="2" s="1"/>
  <c r="K56" i="2"/>
  <c r="J56" i="2"/>
  <c r="L17" i="2"/>
  <c r="L25" i="2"/>
  <c r="L43" i="2"/>
  <c r="N11" i="2" l="1"/>
  <c r="H87" i="2" l="1"/>
  <c r="B57" i="2"/>
  <c r="L11" i="2"/>
  <c r="D87" i="2"/>
  <c r="L7" i="2" l="1"/>
  <c r="H30" i="1" l="1"/>
  <c r="H31" i="1"/>
  <c r="H32" i="1"/>
  <c r="H33" i="1"/>
  <c r="H34" i="1"/>
  <c r="H35" i="1"/>
  <c r="H36" i="1" l="1"/>
  <c r="E50" i="2"/>
  <c r="E48" i="2"/>
  <c r="E44" i="2"/>
  <c r="E45" i="2"/>
  <c r="G45" i="2" s="1"/>
  <c r="E46" i="2"/>
  <c r="E47" i="2"/>
  <c r="E43" i="2"/>
  <c r="G43" i="2" s="1"/>
  <c r="H43" i="2" s="1"/>
  <c r="E42" i="2"/>
  <c r="E41" i="2"/>
  <c r="E26" i="2"/>
  <c r="E27" i="2"/>
  <c r="E28" i="2"/>
  <c r="E29" i="2"/>
  <c r="E30" i="2"/>
  <c r="E31" i="2"/>
  <c r="E32" i="2"/>
  <c r="E33" i="2"/>
  <c r="E34" i="2"/>
  <c r="E35" i="2"/>
  <c r="E36" i="2"/>
  <c r="E37" i="2"/>
  <c r="E38" i="2"/>
  <c r="E39" i="2"/>
  <c r="E40" i="2"/>
  <c r="E25" i="2"/>
  <c r="B13" i="10"/>
  <c r="B14" i="10"/>
  <c r="B15" i="10"/>
  <c r="B16" i="10"/>
  <c r="B17" i="10"/>
  <c r="B18" i="10"/>
  <c r="B19" i="10"/>
  <c r="B12" i="10"/>
  <c r="B11" i="10"/>
  <c r="U5" i="10"/>
  <c r="T5" i="10"/>
  <c r="S5" i="10"/>
  <c r="R5" i="10"/>
  <c r="Q5" i="10"/>
  <c r="P5" i="10"/>
  <c r="O5" i="10"/>
  <c r="N5" i="10"/>
  <c r="M5" i="10"/>
  <c r="L5" i="10"/>
  <c r="H29" i="10" l="1"/>
  <c r="H45" i="2"/>
  <c r="B16" i="1"/>
  <c r="D20" i="10"/>
  <c r="D19" i="10"/>
  <c r="D18" i="10"/>
  <c r="D17" i="10"/>
  <c r="D16" i="10"/>
  <c r="D15" i="10"/>
  <c r="D12" i="10"/>
  <c r="D11" i="10"/>
  <c r="C20" i="10"/>
  <c r="C19" i="10"/>
  <c r="C18" i="10"/>
  <c r="C17" i="10"/>
  <c r="C16" i="10"/>
  <c r="C15" i="10"/>
  <c r="C12" i="10"/>
  <c r="C11" i="10"/>
  <c r="G29" i="10" s="1"/>
  <c r="G55" i="2" l="1"/>
  <c r="G50" i="2"/>
  <c r="G51" i="2"/>
  <c r="G52" i="2"/>
  <c r="G53" i="2"/>
  <c r="G54" i="2"/>
  <c r="E56" i="2" l="1"/>
  <c r="G49" i="2"/>
  <c r="G48" i="2"/>
  <c r="G47" i="2"/>
  <c r="H47" i="2" s="1"/>
  <c r="G46" i="2"/>
  <c r="H46" i="2" s="1"/>
  <c r="G44" i="2"/>
  <c r="H44" i="2" s="1"/>
  <c r="G42" i="2"/>
  <c r="G41" i="2"/>
  <c r="G40" i="2"/>
  <c r="G39" i="2"/>
  <c r="G38" i="2"/>
  <c r="G37" i="2"/>
  <c r="G36" i="2"/>
  <c r="G35" i="2"/>
  <c r="G34" i="2"/>
  <c r="I56" i="2"/>
  <c r="G33" i="2"/>
  <c r="G32" i="2"/>
  <c r="G31" i="2"/>
  <c r="G30" i="2"/>
  <c r="G29" i="2"/>
  <c r="G28" i="2"/>
  <c r="G27" i="2"/>
  <c r="G26" i="2"/>
  <c r="G25" i="2"/>
  <c r="G24" i="2"/>
  <c r="G23" i="2"/>
  <c r="G22" i="2"/>
  <c r="G21" i="2"/>
  <c r="G20" i="2"/>
  <c r="G19" i="2"/>
  <c r="G18" i="2"/>
  <c r="G56" i="2" l="1"/>
  <c r="H56" i="2"/>
  <c r="B62" i="2" l="1"/>
  <c r="B63" i="2"/>
  <c r="C30" i="1"/>
  <c r="C38" i="1" s="1"/>
  <c r="B22" i="1" s="1"/>
  <c r="D50" i="2"/>
  <c r="D56" i="2"/>
  <c r="B30" i="1" s="1"/>
  <c r="B38" i="1" s="1"/>
  <c r="B21" i="1" s="1"/>
  <c r="J23" i="1" l="1"/>
  <c r="H23" i="1"/>
  <c r="B61" i="2"/>
  <c r="B64" i="2" s="1"/>
  <c r="B77" i="2" s="1"/>
  <c r="B75" i="2" s="1"/>
  <c r="B76" i="2" s="1"/>
  <c r="C23" i="1"/>
  <c r="I23" i="1"/>
  <c r="B23" i="1" l="1"/>
  <c r="E22" i="1" s="1"/>
  <c r="G71" i="2"/>
  <c r="G69" i="2" s="1"/>
  <c r="G70" i="2" s="1"/>
  <c r="H77" i="2"/>
  <c r="H75" i="2" s="1"/>
  <c r="H76" i="2" s="1"/>
  <c r="I71" i="2"/>
  <c r="I69" i="2" s="1"/>
  <c r="I70" i="2" s="1"/>
  <c r="B71" i="2"/>
  <c r="B69" i="2" s="1"/>
  <c r="B70" i="2" s="1"/>
  <c r="E77" i="2"/>
  <c r="E75" i="2" s="1"/>
  <c r="E76" i="2" s="1"/>
  <c r="J71" i="2"/>
  <c r="J69" i="2" s="1"/>
  <c r="J70" i="2" s="1"/>
  <c r="H86" i="2"/>
  <c r="D86" i="2"/>
  <c r="C71" i="2"/>
  <c r="C69" i="2" s="1"/>
  <c r="C70" i="2" s="1"/>
  <c r="F71" i="2"/>
  <c r="F69" i="2" s="1"/>
  <c r="F70" i="2" s="1"/>
  <c r="D71" i="2"/>
  <c r="D69" i="2" s="1"/>
  <c r="D70" i="2" s="1"/>
  <c r="J77" i="2"/>
  <c r="J75" i="2" s="1"/>
  <c r="J76" i="2" s="1"/>
  <c r="H71" i="2"/>
  <c r="H69" i="2" s="1"/>
  <c r="H70" i="2" s="1"/>
  <c r="G77" i="2"/>
  <c r="G75" i="2" s="1"/>
  <c r="G76" i="2" s="1"/>
  <c r="N10" i="2"/>
  <c r="L10" i="2"/>
  <c r="F77" i="2"/>
  <c r="F75" i="2" s="1"/>
  <c r="F76" i="2" s="1"/>
  <c r="I77" i="2"/>
  <c r="I75" i="2" s="1"/>
  <c r="I76" i="2" s="1"/>
  <c r="E71" i="2"/>
  <c r="E69" i="2" s="1"/>
  <c r="E70" i="2" s="1"/>
  <c r="D77" i="2"/>
  <c r="D75" i="2" s="1"/>
  <c r="D76" i="2" s="1"/>
  <c r="C77" i="2"/>
  <c r="C75" i="2" s="1"/>
  <c r="C76" i="2" s="1"/>
  <c r="D23" i="1" l="1"/>
  <c r="D24" i="1" s="1"/>
  <c r="B24" i="1"/>
  <c r="F33" i="10"/>
  <c r="H33" i="10" s="1"/>
  <c r="I33" i="10" s="1"/>
  <c r="I34" i="10" s="1"/>
  <c r="B25" i="1"/>
  <c r="C24" i="1" l="1"/>
  <c r="B26" i="1" s="1"/>
  <c r="K26" i="1" s="1"/>
  <c r="E25" i="1"/>
  <c r="E26" i="1" l="1"/>
</calcChain>
</file>

<file path=xl/sharedStrings.xml><?xml version="1.0" encoding="utf-8"?>
<sst xmlns="http://schemas.openxmlformats.org/spreadsheetml/2006/main" count="1090" uniqueCount="200">
  <si>
    <t>REF.</t>
  </si>
  <si>
    <t>PCS</t>
  </si>
  <si>
    <t>DOD-220A</t>
  </si>
  <si>
    <t>DOTD-230A</t>
  </si>
  <si>
    <t>DTD-210A</t>
  </si>
  <si>
    <t>DTD-215A</t>
  </si>
  <si>
    <t>MAD-481</t>
  </si>
  <si>
    <t>MAD-490</t>
  </si>
  <si>
    <t xml:space="preserve"> Total</t>
  </si>
  <si>
    <t>A</t>
  </si>
  <si>
    <t>Fill the PCS field for the desired configuration (Yelow field)</t>
  </si>
  <si>
    <t>MAD-473</t>
  </si>
  <si>
    <t>MAD-472</t>
  </si>
  <si>
    <t>This tool may be used as a design help for Detnov Security S.L. We reserve the right not to be responsible for its accuracy, completeness or quality of the information provided, including any kind of information which could be incomplete or incorrect.</t>
  </si>
  <si>
    <t>MAD-461-I</t>
  </si>
  <si>
    <t>MAD-464-I</t>
  </si>
  <si>
    <t>MAD-465-I</t>
  </si>
  <si>
    <t>DOD-220A-I</t>
  </si>
  <si>
    <t>DOTD-230A-I</t>
  </si>
  <si>
    <t>DTD-210A-I</t>
  </si>
  <si>
    <t>DTD-215A-I</t>
  </si>
  <si>
    <t xml:space="preserve"> </t>
  </si>
  <si>
    <t>MAD-401 &amp; MAD-401-I</t>
  </si>
  <si>
    <t>MAD-402 &amp; MAD-402-I</t>
  </si>
  <si>
    <t>MAD-411 &amp; MAD-411-I</t>
  </si>
  <si>
    <t>MAD-412 &amp; MAD-412-I</t>
  </si>
  <si>
    <t>MAD-421 &amp; MAD-421-I</t>
  </si>
  <si>
    <t>MAD-422 &amp; MAD-422-I</t>
  </si>
  <si>
    <t>MAD-431 &amp; MAD-431-I</t>
  </si>
  <si>
    <t>MAD-432 &amp; MAD-432-I</t>
  </si>
  <si>
    <t>MAD-441 &amp; MAD-441-I</t>
  </si>
  <si>
    <t>MAD-442 &amp; MAD-442-I</t>
  </si>
  <si>
    <t>MAD-450 &amp; MAD-450-I</t>
  </si>
  <si>
    <t>MAD-405-I</t>
  </si>
  <si>
    <t>MAD-409-I</t>
  </si>
  <si>
    <t>MAD-415-I</t>
  </si>
  <si>
    <t>MAD-419-I</t>
  </si>
  <si>
    <t>MAD-425-I</t>
  </si>
  <si>
    <t>MAD-429-I</t>
  </si>
  <si>
    <t>MAD-451-I</t>
  </si>
  <si>
    <t>I_Standby (A)</t>
  </si>
  <si>
    <t>I_Alarm (A)</t>
  </si>
  <si>
    <t>Maximum devices in alarm at the same time</t>
  </si>
  <si>
    <t>Detectors</t>
  </si>
  <si>
    <t>MCP</t>
  </si>
  <si>
    <t>Sounders/Strobes</t>
  </si>
  <si>
    <t>Modules</t>
  </si>
  <si>
    <t>Standby time</t>
  </si>
  <si>
    <t>h</t>
  </si>
  <si>
    <t>Alarm time</t>
  </si>
  <si>
    <t>min</t>
  </si>
  <si>
    <t>Select battery from the list</t>
  </si>
  <si>
    <t>BTD-1207</t>
  </si>
  <si>
    <t>BTD-1218</t>
  </si>
  <si>
    <t>BTD-1224</t>
  </si>
  <si>
    <t>I_Total_Standby</t>
  </si>
  <si>
    <t>I_Total_Alarm</t>
  </si>
  <si>
    <t>1,25 Cmin</t>
  </si>
  <si>
    <t>Selected battery</t>
  </si>
  <si>
    <t>CAD-150-2</t>
  </si>
  <si>
    <t>CAD-150-4</t>
  </si>
  <si>
    <t>Select standby time</t>
  </si>
  <si>
    <t>Select alarm time</t>
  </si>
  <si>
    <t>Devices Loop 1</t>
  </si>
  <si>
    <t>Loop</t>
  </si>
  <si>
    <t>Loop 1</t>
  </si>
  <si>
    <t>Loop 2</t>
  </si>
  <si>
    <t>Loop 3</t>
  </si>
  <si>
    <t>Loop 4</t>
  </si>
  <si>
    <t>Loop 5</t>
  </si>
  <si>
    <t>Loop 6</t>
  </si>
  <si>
    <t>Loop 7</t>
  </si>
  <si>
    <t>Loop 8</t>
  </si>
  <si>
    <t>PAD-10</t>
  </si>
  <si>
    <t>TPLD-100 (CCD-102) = 3 loop address</t>
  </si>
  <si>
    <t>TPLD-100 (CCD-104) = 5 loop address</t>
  </si>
  <si>
    <t>TPLD-100 (CCD-108) = 9 loop address</t>
  </si>
  <si>
    <t>TPLD-100 (CCD-112) = 13 loop address</t>
  </si>
  <si>
    <t>TPLD-100 (CCD-103) = 7 loop address</t>
  </si>
  <si>
    <t>CAD-150-2-MB</t>
  </si>
  <si>
    <t>Time backup power supply</t>
  </si>
  <si>
    <t>Select control panel from the list</t>
  </si>
  <si>
    <t>Tiempos según normativa</t>
  </si>
  <si>
    <t>Reposo (h)</t>
  </si>
  <si>
    <t>Alarma (min)</t>
  </si>
  <si>
    <t>Voltaje (V)</t>
  </si>
  <si>
    <t>Capacidad (Ah)</t>
  </si>
  <si>
    <t>Características baterías</t>
  </si>
  <si>
    <t>Características centrales</t>
  </si>
  <si>
    <t>Central</t>
  </si>
  <si>
    <t>I_Reposo (A)</t>
  </si>
  <si>
    <t>I_Alarma (A)</t>
  </si>
  <si>
    <t>CAD-150-1 &amp; CAD-150-1-Mini</t>
  </si>
  <si>
    <t>CAD-150-8 (4 lazos)</t>
  </si>
  <si>
    <t>CAD-150-8 (6 lazos)</t>
  </si>
  <si>
    <t>CAD-150-8 (8 lazos)</t>
  </si>
  <si>
    <t>CAD-150-8-PLUS (4 lazos)</t>
  </si>
  <si>
    <t>CAD-150-8-PLUS (6 lazos)</t>
  </si>
  <si>
    <t>CAD-150-8-PLUS (8 lazos)</t>
  </si>
  <si>
    <t>Para ocultar valores en celda: formato de numero. En el cuadro tipo escribir ;;; (3 puntos y coma)</t>
  </si>
  <si>
    <t>TABLA AUXILIAR</t>
  </si>
  <si>
    <t>Centrales</t>
  </si>
  <si>
    <t>CAD_150_1</t>
  </si>
  <si>
    <t>CAD_150_2</t>
  </si>
  <si>
    <t>CAD_150_2_MB</t>
  </si>
  <si>
    <t>CAD_150_4</t>
  </si>
  <si>
    <t>CAD_150_8_4loop</t>
  </si>
  <si>
    <t>CAD_150_8_6loop</t>
  </si>
  <si>
    <t>CAD_150_8_8loop</t>
  </si>
  <si>
    <t>CAD_150_8PLUS_4loop</t>
  </si>
  <si>
    <t>CAD_150_8PLUS_6loop</t>
  </si>
  <si>
    <t>CAD_150_8PLUS_8loop</t>
  </si>
  <si>
    <t>PCS_alarm</t>
  </si>
  <si>
    <t>Fill the field for the maximum % of devices in alarm at the same time (Yelow field)</t>
  </si>
  <si>
    <t>Extension Cards</t>
  </si>
  <si>
    <t>TRED-150</t>
  </si>
  <si>
    <t>TMB-151</t>
  </si>
  <si>
    <t>TMBFI-151</t>
  </si>
  <si>
    <t>TMB-251</t>
  </si>
  <si>
    <t>TMBFI-251</t>
  </si>
  <si>
    <t>TED-151-CL</t>
  </si>
  <si>
    <t>2 x 18 Ah</t>
  </si>
  <si>
    <t>2 x 24 Ah</t>
  </si>
  <si>
    <t>Panel auxilliary 24VCC output</t>
  </si>
  <si>
    <t>Cantidad tarjetas</t>
  </si>
  <si>
    <t>System Parameters</t>
  </si>
  <si>
    <t>Battery Time*</t>
  </si>
  <si>
    <t>*Battery time: Standby time + 30 minutes in alarm mode</t>
  </si>
  <si>
    <t>Fill the PCS field if panel has extension card (Yellow field)</t>
  </si>
  <si>
    <t>2 x 7,2 Ah</t>
  </si>
  <si>
    <t>Minimum battery needed</t>
  </si>
  <si>
    <t>TABLA AUXILIAR 2: para condición de batería necesaria</t>
  </si>
  <si>
    <t>SC 116 en 2019 a</t>
  </si>
  <si>
    <t>Section of wire</t>
  </si>
  <si>
    <t>Lenght loop</t>
  </si>
  <si>
    <t>mm2</t>
  </si>
  <si>
    <t>meters</t>
  </si>
  <si>
    <t>I_Sounders (A)</t>
  </si>
  <si>
    <t>System Check</t>
  </si>
  <si>
    <t>Current</t>
  </si>
  <si>
    <t>Addresses</t>
  </si>
  <si>
    <t>Loop Parameters</t>
  </si>
  <si>
    <t>Cu</t>
  </si>
  <si>
    <t>Ω*mm2/m</t>
  </si>
  <si>
    <t>I_Standby</t>
  </si>
  <si>
    <t>I_Alarm</t>
  </si>
  <si>
    <t>I_Sounders</t>
  </si>
  <si>
    <t>I_Total</t>
  </si>
  <si>
    <t>V_Lin_Ring</t>
  </si>
  <si>
    <t>V</t>
  </si>
  <si>
    <t>DET</t>
  </si>
  <si>
    <t>MOD</t>
  </si>
  <si>
    <t>SND</t>
  </si>
  <si>
    <t>ADR</t>
  </si>
  <si>
    <t>Fill Cable Section in mm2 and the Line Distance in meters (Yelow field)</t>
  </si>
  <si>
    <t>Warning: The Minimum Cable Seccion in the Loop is 0,5 mm2</t>
  </si>
  <si>
    <t>m</t>
  </si>
  <si>
    <t>Ω</t>
  </si>
  <si>
    <t>Warning: The Maximum Cable Length in the Loop is 3500 meters</t>
  </si>
  <si>
    <t>Minimum Cable Section for common Lenghts</t>
  </si>
  <si>
    <t>Lenghts</t>
  </si>
  <si>
    <t>R_Cable</t>
  </si>
  <si>
    <t>R_eq_Ring</t>
  </si>
  <si>
    <t>S_min</t>
  </si>
  <si>
    <t>Maximum Cable Lenght for Standard Cable Section (IEC 60228)</t>
  </si>
  <si>
    <t>Section</t>
  </si>
  <si>
    <t>L_max</t>
  </si>
  <si>
    <t>Maximum Current Calculation</t>
  </si>
  <si>
    <t>? S</t>
  </si>
  <si>
    <t>? L</t>
  </si>
  <si>
    <t>R_Cable_Sys</t>
  </si>
  <si>
    <t>R_eq_Ring_Sys</t>
  </si>
  <si>
    <t>I_max</t>
  </si>
  <si>
    <t>Sección cable</t>
  </si>
  <si>
    <t>Fuentes alimentación:</t>
  </si>
  <si>
    <t>PS-17Ah</t>
  </si>
  <si>
    <t>PS-28Ah</t>
  </si>
  <si>
    <t>PS-40Ah</t>
  </si>
  <si>
    <t>PS-60Ah</t>
  </si>
  <si>
    <t>Dif. Entre BTD y Minimum battery needed</t>
  </si>
  <si>
    <t>PS necesaria:</t>
  </si>
  <si>
    <t>Devices Loop 2</t>
  </si>
  <si>
    <t>Devices Loop 3</t>
  </si>
  <si>
    <t>Devices Loop 4</t>
  </si>
  <si>
    <t>Devices Loop 5</t>
  </si>
  <si>
    <t>Devices Loop 6</t>
  </si>
  <si>
    <t>Devices Loop 7</t>
  </si>
  <si>
    <t>Devices Loop 8</t>
  </si>
  <si>
    <t>Max.10/loop</t>
  </si>
  <si>
    <t>Panel sounder output 1</t>
  </si>
  <si>
    <t>Pantel sounder output 2</t>
  </si>
  <si>
    <t>CAD-150-4-P</t>
  </si>
  <si>
    <t>CAD-150-8-PLUS-P (4 lazos)</t>
  </si>
  <si>
    <t>CAD-150-8-PLUS-P (6 lazos)</t>
  </si>
  <si>
    <t>CAD-150-8-PLUS-P (8 lazos)</t>
  </si>
  <si>
    <t>CAD_150_4_P</t>
  </si>
  <si>
    <t>CAD_150_8PLUS_P_8loop</t>
  </si>
  <si>
    <t>CAD_150_8PLUS_P_6loop</t>
  </si>
  <si>
    <t>CAD_150_8PLUS_P_4loop</t>
  </si>
  <si>
    <t>SYSTEM CALCULATOR DETNOV CAD-150 EXCEL TOOL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</si>
</sst>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0\ &quot;€&quot;"/>
    <numFmt numFmtId="165" formatCode="0.000000"/>
    <numFmt numFmtId="166" formatCode="0.000"/>
    <numFmt numFmtId="167" formatCode=";;;"/>
    <numFmt numFmtId="168" formatCode="0.00\ &quot;h&quot;"/>
    <numFmt numFmtId="169" formatCode="0\ &quot;V&quot;"/>
    <numFmt numFmtId="170" formatCode="0\ &quot;Ah&quot;"/>
    <numFmt numFmtId="171" formatCode="0.0\ &quot;Ah&quot;"/>
    <numFmt numFmtId="172" formatCode="0.0"/>
    <numFmt numFmtId="173" formatCode="0.00\ &quot;A&quot;"/>
  </numFmts>
  <fonts count="18" x14ac:knownFonts="1">
    <font>
      <sz val="10"/>
      <name val="Arial"/>
    </font>
    <font>
      <b/>
      <sz val="11"/>
      <color indexed="8"/>
      <name val="Calibri"/>
      <family val="2"/>
    </font>
    <font>
      <b/>
      <sz val="10"/>
      <name val="Arial"/>
      <family val="2"/>
    </font>
    <font>
      <i/>
      <sz val="10"/>
      <name val="Arial"/>
      <family val="2"/>
    </font>
    <font>
      <b/>
      <sz val="10"/>
      <color indexed="17"/>
      <name val="Arial"/>
      <family val="2"/>
    </font>
    <font>
      <sz val="10"/>
      <name val="Arial"/>
      <family val="2"/>
    </font>
    <font>
      <sz val="10"/>
      <name val="Calibri"/>
      <family val="2"/>
    </font>
    <font>
      <b/>
      <sz val="10"/>
      <color theme="0"/>
      <name val="Arial"/>
      <family val="2"/>
    </font>
    <font>
      <b/>
      <sz val="10"/>
      <color rgb="FFFF0000"/>
      <name val="Arial"/>
      <family val="2"/>
    </font>
    <font>
      <sz val="10"/>
      <name val="Arial"/>
      <family val="2"/>
    </font>
    <font>
      <b/>
      <sz val="10"/>
      <color theme="4"/>
      <name val="Arial"/>
      <family val="2"/>
    </font>
    <font>
      <sz val="8"/>
      <name val="Arial"/>
      <family val="2"/>
    </font>
    <font>
      <b/>
      <sz val="24"/>
      <color rgb="FFFF0000"/>
      <name val="Arial"/>
      <family val="2"/>
    </font>
    <font>
      <b/>
      <sz val="10"/>
      <color rgb="FF008000"/>
      <name val="Arial"/>
      <family val="2"/>
    </font>
    <font>
      <b/>
      <sz val="10"/>
      <color indexed="10"/>
      <name val="Arial"/>
      <family val="2"/>
    </font>
    <font>
      <b/>
      <sz val="10"/>
      <color indexed="53"/>
      <name val="Arial"/>
      <family val="2"/>
    </font>
    <font>
      <sz val="10"/>
      <color theme="0"/>
      <name val="Arial"/>
      <family val="2"/>
    </font>
    <font>
      <b/>
      <sz val="9"/>
      <color rgb="FFFF0000"/>
      <name val="Arial"/>
      <family val="2"/>
    </font>
  </fonts>
  <fills count="6">
    <fill>
      <patternFill patternType="none"/>
    </fill>
    <fill>
      <patternFill patternType="gray125"/>
    </fill>
    <fill>
      <patternFill patternType="solid">
        <fgColor indexed="43"/>
        <bgColor indexed="64"/>
      </patternFill>
    </fill>
    <fill>
      <patternFill patternType="solid">
        <fgColor rgb="FFFFFF00"/>
        <bgColor indexed="64"/>
      </patternFill>
    </fill>
    <fill>
      <patternFill patternType="solid">
        <fgColor indexed="42"/>
        <bgColor indexed="64"/>
      </patternFill>
    </fill>
    <fill>
      <patternFill patternType="solid">
        <fgColor rgb="FFCCFFCC"/>
        <bgColor indexed="64"/>
      </patternFill>
    </fill>
  </fills>
  <borders count="52">
    <border>
      <left/>
      <right/>
      <top/>
      <bottom/>
      <diagonal/>
    </border>
    <border>
      <left/>
      <right/>
      <top/>
      <bottom style="medium">
        <color indexed="1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9" fillId="0" borderId="0" applyFont="0" applyFill="0" applyBorder="0" applyAlignment="0" applyProtection="0"/>
  </cellStyleXfs>
  <cellXfs count="239">
    <xf numFmtId="0" fontId="0" fillId="0" borderId="0" xfId="0"/>
    <xf numFmtId="9" fontId="0" fillId="0" borderId="0" xfId="0" applyNumberFormat="1"/>
    <xf numFmtId="164" fontId="0" fillId="0" borderId="0" xfId="0" applyNumberFormat="1"/>
    <xf numFmtId="0" fontId="1" fillId="0" borderId="0" xfId="0" applyFont="1"/>
    <xf numFmtId="0" fontId="2" fillId="0" borderId="1" xfId="0" applyFont="1" applyBorder="1"/>
    <xf numFmtId="164" fontId="2" fillId="0" borderId="1" xfId="0" applyNumberFormat="1" applyFont="1" applyBorder="1"/>
    <xf numFmtId="9" fontId="2" fillId="0" borderId="1" xfId="0" applyNumberFormat="1" applyFont="1" applyBorder="1"/>
    <xf numFmtId="0" fontId="2" fillId="0" borderId="0" xfId="0" applyFont="1"/>
    <xf numFmtId="0" fontId="2" fillId="0" borderId="2" xfId="0" applyFont="1" applyBorder="1"/>
    <xf numFmtId="0" fontId="2" fillId="0" borderId="3" xfId="0" applyFont="1" applyBorder="1"/>
    <xf numFmtId="0" fontId="2" fillId="0" borderId="4" xfId="0" applyFont="1" applyBorder="1"/>
    <xf numFmtId="0" fontId="0" fillId="0" borderId="0" xfId="0" applyBorder="1"/>
    <xf numFmtId="0" fontId="2" fillId="0" borderId="0" xfId="0" applyFont="1" applyFill="1" applyBorder="1"/>
    <xf numFmtId="0" fontId="0" fillId="0" borderId="0" xfId="0" applyFill="1" applyBorder="1"/>
    <xf numFmtId="0" fontId="0" fillId="0" borderId="0" xfId="0" applyFill="1"/>
    <xf numFmtId="0" fontId="4" fillId="0" borderId="0" xfId="0" applyFont="1" applyFill="1" applyBorder="1"/>
    <xf numFmtId="164" fontId="2" fillId="0" borderId="1" xfId="0" applyNumberFormat="1" applyFont="1" applyBorder="1" applyAlignment="1">
      <alignment horizontal="right"/>
    </xf>
    <xf numFmtId="0" fontId="5" fillId="0" borderId="0" xfId="0" applyFont="1"/>
    <xf numFmtId="0" fontId="5" fillId="0" borderId="16" xfId="0" applyFont="1" applyBorder="1"/>
    <xf numFmtId="0" fontId="2" fillId="0" borderId="12" xfId="0" applyFont="1" applyBorder="1"/>
    <xf numFmtId="165" fontId="2" fillId="0" borderId="13" xfId="0" applyNumberFormat="1" applyFont="1" applyBorder="1"/>
    <xf numFmtId="0" fontId="0" fillId="0" borderId="5" xfId="0" applyBorder="1"/>
    <xf numFmtId="0" fontId="0" fillId="0" borderId="6" xfId="0" applyBorder="1"/>
    <xf numFmtId="0" fontId="0" fillId="2" borderId="7" xfId="0" applyFill="1" applyBorder="1" applyProtection="1">
      <protection locked="0"/>
    </xf>
    <xf numFmtId="165" fontId="0" fillId="0" borderId="7" xfId="0" applyNumberFormat="1" applyBorder="1"/>
    <xf numFmtId="0" fontId="5" fillId="0" borderId="6" xfId="0" applyFont="1" applyBorder="1"/>
    <xf numFmtId="0" fontId="5" fillId="0" borderId="9" xfId="0" applyFont="1" applyBorder="1"/>
    <xf numFmtId="0" fontId="0" fillId="2" borderId="10" xfId="0" applyFill="1" applyBorder="1" applyProtection="1">
      <protection locked="0"/>
    </xf>
    <xf numFmtId="0" fontId="0" fillId="0" borderId="0" xfId="0" applyBorder="1" applyAlignment="1">
      <alignment horizontal="center"/>
    </xf>
    <xf numFmtId="0" fontId="2" fillId="0" borderId="0" xfId="0" applyFont="1" applyBorder="1"/>
    <xf numFmtId="0" fontId="5" fillId="0" borderId="0" xfId="0" applyFont="1" applyFill="1"/>
    <xf numFmtId="0" fontId="6" fillId="0" borderId="0" xfId="0" applyFont="1" applyBorder="1"/>
    <xf numFmtId="0" fontId="8" fillId="0" borderId="0" xfId="0" applyFont="1"/>
    <xf numFmtId="0" fontId="5" fillId="0" borderId="5" xfId="0" applyFont="1" applyBorder="1"/>
    <xf numFmtId="0" fontId="5" fillId="0" borderId="11" xfId="0" applyFont="1" applyBorder="1"/>
    <xf numFmtId="0" fontId="5" fillId="0" borderId="0" xfId="0" applyFont="1" applyFill="1" applyBorder="1"/>
    <xf numFmtId="9" fontId="2" fillId="0" borderId="0" xfId="0" applyNumberFormat="1" applyFont="1" applyBorder="1"/>
    <xf numFmtId="164" fontId="2" fillId="0" borderId="0" xfId="0" applyNumberFormat="1" applyFont="1" applyBorder="1"/>
    <xf numFmtId="164" fontId="2" fillId="0" borderId="0" xfId="0" applyNumberFormat="1" applyFont="1" applyBorder="1" applyAlignment="1">
      <alignment horizontal="right"/>
    </xf>
    <xf numFmtId="0" fontId="5" fillId="0" borderId="6" xfId="0" applyFont="1" applyFill="1" applyBorder="1"/>
    <xf numFmtId="0" fontId="4" fillId="0" borderId="0" xfId="0" applyFont="1"/>
    <xf numFmtId="0" fontId="5" fillId="0" borderId="0" xfId="0" applyFont="1" applyBorder="1"/>
    <xf numFmtId="0" fontId="0" fillId="2" borderId="16" xfId="0" applyFill="1" applyBorder="1" applyAlignment="1" applyProtection="1">
      <alignment horizontal="right"/>
      <protection locked="0"/>
    </xf>
    <xf numFmtId="0" fontId="0" fillId="2" borderId="22" xfId="0" applyFill="1" applyBorder="1" applyAlignment="1" applyProtection="1">
      <alignment horizontal="right"/>
      <protection locked="0"/>
    </xf>
    <xf numFmtId="0" fontId="0" fillId="0" borderId="0" xfId="0" applyFont="1" applyFill="1" applyBorder="1"/>
    <xf numFmtId="0" fontId="5" fillId="0" borderId="23" xfId="0" applyFont="1" applyBorder="1"/>
    <xf numFmtId="0" fontId="0" fillId="0" borderId="24" xfId="0" applyBorder="1"/>
    <xf numFmtId="0" fontId="5" fillId="0" borderId="25" xfId="0" applyFont="1" applyBorder="1"/>
    <xf numFmtId="0" fontId="0" fillId="0" borderId="21" xfId="0" applyBorder="1"/>
    <xf numFmtId="0" fontId="2" fillId="0" borderId="7" xfId="0" applyFont="1" applyBorder="1"/>
    <xf numFmtId="0" fontId="0" fillId="0" borderId="20" xfId="0" applyBorder="1"/>
    <xf numFmtId="0" fontId="0" fillId="0" borderId="19" xfId="0" applyBorder="1"/>
    <xf numFmtId="0" fontId="0" fillId="0" borderId="17" xfId="0" applyBorder="1"/>
    <xf numFmtId="0" fontId="2" fillId="0" borderId="26" xfId="0" applyFont="1" applyBorder="1"/>
    <xf numFmtId="0" fontId="2" fillId="0" borderId="27" xfId="0" applyFont="1" applyBorder="1"/>
    <xf numFmtId="0" fontId="10" fillId="0" borderId="0" xfId="0" applyFont="1"/>
    <xf numFmtId="0" fontId="10" fillId="0" borderId="0" xfId="0" applyFont="1" applyBorder="1"/>
    <xf numFmtId="166" fontId="5" fillId="0" borderId="24" xfId="0" applyNumberFormat="1" applyFont="1" applyBorder="1"/>
    <xf numFmtId="0" fontId="5" fillId="0" borderId="24" xfId="0" applyFont="1" applyBorder="1"/>
    <xf numFmtId="0" fontId="5" fillId="3" borderId="0" xfId="0" applyFont="1" applyFill="1" applyAlignment="1"/>
    <xf numFmtId="0" fontId="5" fillId="0" borderId="7" xfId="0" applyFont="1" applyBorder="1"/>
    <xf numFmtId="0" fontId="0" fillId="0" borderId="7" xfId="0" applyBorder="1"/>
    <xf numFmtId="9" fontId="0" fillId="2" borderId="8" xfId="1" applyFont="1" applyFill="1" applyBorder="1" applyAlignment="1" applyProtection="1">
      <alignment horizontal="right"/>
      <protection locked="0"/>
    </xf>
    <xf numFmtId="0" fontId="0" fillId="0" borderId="29" xfId="0" applyBorder="1"/>
    <xf numFmtId="9" fontId="0" fillId="2" borderId="11" xfId="1" applyFont="1" applyFill="1" applyBorder="1" applyAlignment="1" applyProtection="1">
      <alignment horizontal="right"/>
      <protection locked="0"/>
    </xf>
    <xf numFmtId="165" fontId="0" fillId="0" borderId="15" xfId="0" applyNumberFormat="1" applyBorder="1" applyProtection="1">
      <protection hidden="1"/>
    </xf>
    <xf numFmtId="165" fontId="0" fillId="0" borderId="10" xfId="0" applyNumberFormat="1" applyBorder="1" applyProtection="1">
      <protection hidden="1"/>
    </xf>
    <xf numFmtId="167" fontId="2" fillId="0" borderId="0" xfId="0" applyNumberFormat="1" applyFont="1" applyFill="1" applyBorder="1" applyProtection="1">
      <protection hidden="1"/>
    </xf>
    <xf numFmtId="0" fontId="2" fillId="0" borderId="0" xfId="0" applyFont="1" applyFill="1" applyBorder="1" applyAlignment="1" applyProtection="1">
      <alignment horizontal="left"/>
      <protection hidden="1"/>
    </xf>
    <xf numFmtId="165" fontId="0" fillId="0" borderId="16" xfId="0" applyNumberFormat="1" applyBorder="1" applyProtection="1">
      <protection hidden="1"/>
    </xf>
    <xf numFmtId="165" fontId="0" fillId="0" borderId="7" xfId="0" applyNumberFormat="1" applyBorder="1" applyProtection="1">
      <protection hidden="1"/>
    </xf>
    <xf numFmtId="165" fontId="0" fillId="0" borderId="8" xfId="0" applyNumberFormat="1" applyBorder="1" applyProtection="1">
      <protection hidden="1"/>
    </xf>
    <xf numFmtId="165" fontId="2" fillId="0" borderId="13" xfId="0" applyNumberFormat="1" applyFont="1" applyBorder="1" applyProtection="1">
      <protection hidden="1"/>
    </xf>
    <xf numFmtId="165" fontId="2" fillId="0" borderId="14" xfId="0" applyNumberFormat="1" applyFont="1" applyBorder="1" applyProtection="1">
      <protection hidden="1"/>
    </xf>
    <xf numFmtId="0" fontId="0" fillId="0" borderId="7" xfId="0" applyFill="1" applyBorder="1" applyProtection="1">
      <protection locked="0" hidden="1"/>
    </xf>
    <xf numFmtId="165" fontId="7" fillId="0" borderId="13" xfId="0" applyNumberFormat="1" applyFont="1" applyBorder="1" applyProtection="1">
      <protection hidden="1"/>
    </xf>
    <xf numFmtId="0" fontId="2" fillId="0" borderId="13" xfId="0" applyFont="1" applyFill="1" applyBorder="1" applyProtection="1">
      <protection hidden="1"/>
    </xf>
    <xf numFmtId="0" fontId="5" fillId="0" borderId="19" xfId="0" applyFont="1" applyFill="1" applyBorder="1"/>
    <xf numFmtId="0" fontId="5" fillId="0" borderId="31" xfId="0" applyNumberFormat="1" applyFont="1" applyBorder="1"/>
    <xf numFmtId="167" fontId="5" fillId="0" borderId="0" xfId="0" applyNumberFormat="1" applyFont="1" applyFill="1" applyBorder="1" applyProtection="1">
      <protection hidden="1"/>
    </xf>
    <xf numFmtId="0" fontId="8" fillId="0" borderId="0" xfId="0" applyFont="1" applyBorder="1"/>
    <xf numFmtId="0" fontId="0" fillId="0" borderId="6" xfId="0" applyBorder="1" applyAlignment="1">
      <alignment vertical="top"/>
    </xf>
    <xf numFmtId="0" fontId="2" fillId="0" borderId="3" xfId="0" applyFont="1" applyFill="1" applyBorder="1"/>
    <xf numFmtId="0" fontId="5" fillId="0" borderId="4" xfId="0" applyFont="1" applyBorder="1" applyAlignment="1">
      <alignment horizontal="center"/>
    </xf>
    <xf numFmtId="168" fontId="2" fillId="0" borderId="9" xfId="0" applyNumberFormat="1" applyFont="1" applyBorder="1"/>
    <xf numFmtId="168" fontId="2" fillId="0" borderId="10" xfId="0" applyNumberFormat="1" applyFont="1" applyBorder="1"/>
    <xf numFmtId="168" fontId="2" fillId="0" borderId="11" xfId="0" applyNumberFormat="1" applyFont="1" applyBorder="1"/>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2" xfId="0" applyFont="1" applyBorder="1" applyAlignment="1">
      <alignment horizontal="left" vertical="center"/>
    </xf>
    <xf numFmtId="0" fontId="2" fillId="0" borderId="2" xfId="0" applyFont="1" applyBorder="1" applyAlignment="1">
      <alignment vertical="center"/>
    </xf>
    <xf numFmtId="0" fontId="1" fillId="0" borderId="28" xfId="0" applyFont="1" applyBorder="1" applyAlignment="1">
      <alignment vertical="center"/>
    </xf>
    <xf numFmtId="0" fontId="4" fillId="0" borderId="0" xfId="0" applyFont="1" applyFill="1" applyBorder="1" applyAlignment="1">
      <alignment horizontal="left" vertical="center"/>
    </xf>
    <xf numFmtId="0" fontId="11" fillId="0" borderId="0" xfId="0" applyFont="1" applyFill="1" applyBorder="1"/>
    <xf numFmtId="167" fontId="7" fillId="0" borderId="17" xfId="0" applyNumberFormat="1" applyFont="1" applyBorder="1" applyProtection="1">
      <protection hidden="1"/>
    </xf>
    <xf numFmtId="167" fontId="7" fillId="0" borderId="18" xfId="0" applyNumberFormat="1" applyFont="1" applyBorder="1" applyProtection="1">
      <protection hidden="1"/>
    </xf>
    <xf numFmtId="0" fontId="0" fillId="2" borderId="32" xfId="0" applyFill="1" applyBorder="1" applyAlignment="1" applyProtection="1">
      <alignment horizontal="left"/>
      <protection locked="0"/>
    </xf>
    <xf numFmtId="0" fontId="2" fillId="0" borderId="30" xfId="0" applyFont="1" applyBorder="1" applyAlignment="1">
      <alignment horizontal="center" vertical="center"/>
    </xf>
    <xf numFmtId="0" fontId="0" fillId="0" borderId="33"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0" fillId="0" borderId="34" xfId="0" applyBorder="1" applyAlignment="1">
      <alignment vertical="top"/>
    </xf>
    <xf numFmtId="167" fontId="0" fillId="0" borderId="33" xfId="0" applyNumberFormat="1" applyBorder="1" applyAlignment="1">
      <alignment vertical="top"/>
    </xf>
    <xf numFmtId="165" fontId="2" fillId="0" borderId="22" xfId="0" applyNumberFormat="1" applyFont="1" applyBorder="1" applyProtection="1">
      <protection hidden="1"/>
    </xf>
    <xf numFmtId="0" fontId="0" fillId="0" borderId="9" xfId="0" applyBorder="1" applyAlignment="1">
      <alignment vertical="top"/>
    </xf>
    <xf numFmtId="165" fontId="0" fillId="0" borderId="11" xfId="0" applyNumberFormat="1" applyBorder="1" applyProtection="1">
      <protection hidden="1"/>
    </xf>
    <xf numFmtId="167" fontId="0" fillId="0" borderId="0" xfId="0" applyNumberFormat="1" applyBorder="1"/>
    <xf numFmtId="0" fontId="8" fillId="0" borderId="0" xfId="0" applyFont="1" applyFill="1" applyBorder="1"/>
    <xf numFmtId="0" fontId="2" fillId="0" borderId="35" xfId="0" applyFont="1" applyBorder="1"/>
    <xf numFmtId="0" fontId="5" fillId="0" borderId="8" xfId="0" applyFont="1" applyBorder="1"/>
    <xf numFmtId="0" fontId="2" fillId="0" borderId="10" xfId="0" applyFont="1" applyBorder="1"/>
    <xf numFmtId="0" fontId="5" fillId="0" borderId="37" xfId="0" applyFont="1" applyBorder="1"/>
    <xf numFmtId="0" fontId="0" fillId="2" borderId="17" xfId="0" applyFill="1" applyBorder="1" applyProtection="1">
      <protection locked="0"/>
    </xf>
    <xf numFmtId="0" fontId="2" fillId="0" borderId="17" xfId="0" applyFont="1" applyBorder="1"/>
    <xf numFmtId="0" fontId="5" fillId="0" borderId="18" xfId="0" applyFont="1" applyBorder="1"/>
    <xf numFmtId="0" fontId="2" fillId="0" borderId="13" xfId="0" applyFont="1" applyBorder="1"/>
    <xf numFmtId="0" fontId="2" fillId="0" borderId="14" xfId="0" applyFont="1" applyBorder="1"/>
    <xf numFmtId="0" fontId="0" fillId="2" borderId="1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2" fillId="0" borderId="0" xfId="0" applyFont="1" applyFill="1" applyBorder="1" applyProtection="1">
      <protection hidden="1"/>
    </xf>
    <xf numFmtId="165" fontId="2" fillId="0" borderId="0" xfId="0" applyNumberFormat="1" applyFont="1" applyBorder="1"/>
    <xf numFmtId="165" fontId="2" fillId="0" borderId="0" xfId="0" applyNumberFormat="1" applyFont="1" applyBorder="1" applyProtection="1">
      <protection hidden="1"/>
    </xf>
    <xf numFmtId="165" fontId="7" fillId="0" borderId="0" xfId="0" applyNumberFormat="1" applyFont="1" applyBorder="1" applyProtection="1">
      <protection hidden="1"/>
    </xf>
    <xf numFmtId="0" fontId="0" fillId="0" borderId="8" xfId="0" applyBorder="1"/>
    <xf numFmtId="0" fontId="0" fillId="0" borderId="10" xfId="0" applyBorder="1"/>
    <xf numFmtId="0" fontId="0" fillId="0" borderId="11" xfId="0" applyBorder="1"/>
    <xf numFmtId="0" fontId="5" fillId="0" borderId="38" xfId="0" applyFont="1" applyBorder="1"/>
    <xf numFmtId="0" fontId="0" fillId="2" borderId="20" xfId="0" applyFill="1" applyBorder="1" applyProtection="1">
      <protection locked="0"/>
    </xf>
    <xf numFmtId="165" fontId="0" fillId="0" borderId="20" xfId="0" applyNumberFormat="1" applyBorder="1" applyProtection="1">
      <protection hidden="1"/>
    </xf>
    <xf numFmtId="0" fontId="0" fillId="0" borderId="20" xfId="0" applyFill="1" applyBorder="1" applyProtection="1">
      <protection locked="0" hidden="1"/>
    </xf>
    <xf numFmtId="0" fontId="0" fillId="0" borderId="39" xfId="0" applyBorder="1"/>
    <xf numFmtId="0" fontId="0" fillId="0" borderId="13" xfId="0" applyBorder="1"/>
    <xf numFmtId="0" fontId="0" fillId="0" borderId="14" xfId="0" applyBorder="1"/>
    <xf numFmtId="0" fontId="0" fillId="0" borderId="37" xfId="0" applyBorder="1"/>
    <xf numFmtId="165" fontId="0" fillId="0" borderId="17" xfId="0" applyNumberFormat="1" applyBorder="1" applyProtection="1">
      <protection hidden="1"/>
    </xf>
    <xf numFmtId="0" fontId="0" fillId="0" borderId="17" xfId="0" applyFill="1" applyBorder="1" applyProtection="1">
      <protection locked="0" hidden="1"/>
    </xf>
    <xf numFmtId="0" fontId="0" fillId="0" borderId="18" xfId="0" applyBorder="1"/>
    <xf numFmtId="164" fontId="2" fillId="0" borderId="4" xfId="0" applyNumberFormat="1" applyFont="1" applyBorder="1"/>
    <xf numFmtId="0" fontId="0" fillId="0" borderId="40" xfId="0" applyBorder="1"/>
    <xf numFmtId="166" fontId="0" fillId="0" borderId="7" xfId="0" applyNumberFormat="1" applyBorder="1"/>
    <xf numFmtId="0" fontId="5" fillId="0" borderId="7" xfId="0" applyFont="1" applyFill="1" applyBorder="1"/>
    <xf numFmtId="166" fontId="0" fillId="0" borderId="17" xfId="0" applyNumberFormat="1" applyBorder="1"/>
    <xf numFmtId="0" fontId="5" fillId="0" borderId="9" xfId="0" applyFont="1" applyFill="1" applyBorder="1"/>
    <xf numFmtId="0" fontId="4" fillId="0" borderId="20" xfId="0" applyFont="1" applyBorder="1"/>
    <xf numFmtId="0" fontId="2" fillId="0" borderId="14" xfId="0" applyFont="1" applyFill="1" applyBorder="1" applyProtection="1">
      <protection hidden="1"/>
    </xf>
    <xf numFmtId="0" fontId="2" fillId="0" borderId="34" xfId="0" applyFont="1" applyBorder="1" applyAlignment="1">
      <alignment horizontal="left"/>
    </xf>
    <xf numFmtId="0" fontId="2" fillId="0" borderId="33" xfId="0" applyFont="1" applyBorder="1" applyAlignment="1">
      <alignment horizontal="center"/>
    </xf>
    <xf numFmtId="0" fontId="2" fillId="0" borderId="33" xfId="0" applyFont="1" applyBorder="1"/>
    <xf numFmtId="0" fontId="2" fillId="0" borderId="22" xfId="0" applyFont="1" applyBorder="1"/>
    <xf numFmtId="0" fontId="0" fillId="0" borderId="3" xfId="0" applyBorder="1"/>
    <xf numFmtId="0" fontId="0" fillId="0" borderId="4" xfId="0" applyBorder="1"/>
    <xf numFmtId="0" fontId="13" fillId="0" borderId="0" xfId="0" applyFont="1"/>
    <xf numFmtId="0" fontId="14" fillId="0" borderId="0" xfId="0" applyFont="1"/>
    <xf numFmtId="0" fontId="15" fillId="0" borderId="0" xfId="0" applyFont="1"/>
    <xf numFmtId="0" fontId="5" fillId="0" borderId="41" xfId="0" applyFont="1" applyBorder="1"/>
    <xf numFmtId="0" fontId="0" fillId="0" borderId="42" xfId="0" applyBorder="1"/>
    <xf numFmtId="1" fontId="0" fillId="0" borderId="7" xfId="0" applyNumberFormat="1" applyBorder="1"/>
    <xf numFmtId="1" fontId="0" fillId="0" borderId="10" xfId="0" applyNumberFormat="1" applyBorder="1"/>
    <xf numFmtId="3" fontId="0" fillId="0" borderId="7" xfId="0" applyNumberFormat="1" applyBorder="1"/>
    <xf numFmtId="0" fontId="2" fillId="4" borderId="35" xfId="0" applyFont="1" applyFill="1" applyBorder="1" applyAlignment="1">
      <alignment horizontal="center"/>
    </xf>
    <xf numFmtId="0" fontId="5" fillId="0" borderId="37" xfId="0" applyFont="1" applyFill="1" applyBorder="1"/>
    <xf numFmtId="0" fontId="2" fillId="4" borderId="36" xfId="0" applyFont="1" applyFill="1" applyBorder="1" applyAlignment="1">
      <alignment horizontal="center"/>
    </xf>
    <xf numFmtId="0" fontId="2" fillId="0" borderId="2" xfId="0" applyFont="1" applyFill="1" applyBorder="1"/>
    <xf numFmtId="0" fontId="8" fillId="0" borderId="17" xfId="0" applyFont="1" applyBorder="1"/>
    <xf numFmtId="0" fontId="8" fillId="0" borderId="3" xfId="0" applyFont="1" applyBorder="1"/>
    <xf numFmtId="0" fontId="5" fillId="0" borderId="41" xfId="0" applyFont="1" applyFill="1" applyBorder="1"/>
    <xf numFmtId="0" fontId="5" fillId="0" borderId="42" xfId="0" applyFont="1" applyFill="1" applyBorder="1"/>
    <xf numFmtId="0" fontId="0" fillId="0" borderId="25" xfId="0" applyBorder="1"/>
    <xf numFmtId="0" fontId="5" fillId="0" borderId="43" xfId="0" applyFont="1" applyFill="1" applyBorder="1"/>
    <xf numFmtId="0" fontId="0" fillId="0" borderId="43" xfId="0" applyBorder="1"/>
    <xf numFmtId="0" fontId="5" fillId="0" borderId="20" xfId="0" applyFont="1" applyFill="1" applyBorder="1"/>
    <xf numFmtId="0" fontId="5" fillId="0" borderId="17" xfId="0" applyFont="1" applyFill="1" applyBorder="1"/>
    <xf numFmtId="167" fontId="2" fillId="0" borderId="2" xfId="0" applyNumberFormat="1" applyFont="1" applyFill="1" applyBorder="1"/>
    <xf numFmtId="167" fontId="0" fillId="0" borderId="3" xfId="0" applyNumberFormat="1" applyBorder="1"/>
    <xf numFmtId="167" fontId="2" fillId="0" borderId="3" xfId="0" applyNumberFormat="1" applyFont="1" applyFill="1" applyBorder="1"/>
    <xf numFmtId="167" fontId="2" fillId="0" borderId="3" xfId="0" applyNumberFormat="1" applyFont="1" applyBorder="1"/>
    <xf numFmtId="0" fontId="3" fillId="0" borderId="0" xfId="0" applyFont="1" applyAlignment="1">
      <alignment horizontal="justify" vertical="top" wrapText="1"/>
    </xf>
    <xf numFmtId="171" fontId="2" fillId="0" borderId="36" xfId="0" applyNumberFormat="1" applyFont="1" applyBorder="1"/>
    <xf numFmtId="167" fontId="5" fillId="0" borderId="0" xfId="0" applyNumberFormat="1" applyFont="1" applyFill="1" applyBorder="1"/>
    <xf numFmtId="0" fontId="0" fillId="3" borderId="0" xfId="0" applyFill="1"/>
    <xf numFmtId="169" fontId="5" fillId="0" borderId="7" xfId="0" applyNumberFormat="1" applyFont="1" applyBorder="1" applyProtection="1">
      <protection hidden="1"/>
    </xf>
    <xf numFmtId="172" fontId="5" fillId="0" borderId="0" xfId="0" applyNumberFormat="1" applyFont="1" applyBorder="1"/>
    <xf numFmtId="0" fontId="5" fillId="0" borderId="45" xfId="0" applyFont="1" applyBorder="1"/>
    <xf numFmtId="0" fontId="5" fillId="0" borderId="46" xfId="0" applyFont="1" applyBorder="1"/>
    <xf numFmtId="0" fontId="5" fillId="0" borderId="47" xfId="0" applyFont="1" applyBorder="1"/>
    <xf numFmtId="0" fontId="5" fillId="0" borderId="32" xfId="0" applyFont="1" applyBorder="1"/>
    <xf numFmtId="0" fontId="5" fillId="0" borderId="48" xfId="0" applyFont="1" applyBorder="1"/>
    <xf numFmtId="0" fontId="5" fillId="0" borderId="40" xfId="0" applyFont="1" applyBorder="1"/>
    <xf numFmtId="167" fontId="16" fillId="0" borderId="7" xfId="0" applyNumberFormat="1" applyFont="1" applyBorder="1" applyProtection="1">
      <protection hidden="1"/>
    </xf>
    <xf numFmtId="170" fontId="6" fillId="0" borderId="7" xfId="0" applyNumberFormat="1" applyFont="1" applyBorder="1"/>
    <xf numFmtId="0" fontId="5" fillId="0" borderId="2" xfId="0" applyFont="1" applyBorder="1"/>
    <xf numFmtId="170" fontId="5" fillId="0" borderId="5" xfId="0" applyNumberFormat="1" applyFont="1" applyBorder="1"/>
    <xf numFmtId="0" fontId="5" fillId="0" borderId="15" xfId="0" applyFont="1" applyBorder="1"/>
    <xf numFmtId="170" fontId="5" fillId="0" borderId="6" xfId="0" applyNumberFormat="1" applyFont="1" applyBorder="1"/>
    <xf numFmtId="0" fontId="5" fillId="2" borderId="6" xfId="0" applyFont="1" applyFill="1" applyBorder="1" applyAlignment="1" applyProtection="1">
      <alignment horizontal="left"/>
      <protection locked="0"/>
    </xf>
    <xf numFmtId="171" fontId="5" fillId="0" borderId="6" xfId="0" applyNumberFormat="1" applyFont="1" applyBorder="1"/>
    <xf numFmtId="3" fontId="2" fillId="5" borderId="44" xfId="0" applyNumberFormat="1" applyFont="1" applyFill="1" applyBorder="1"/>
    <xf numFmtId="0" fontId="5" fillId="0" borderId="0" xfId="0" applyFont="1" applyBorder="1" applyAlignment="1"/>
    <xf numFmtId="167" fontId="5" fillId="0" borderId="0" xfId="0" applyNumberFormat="1" applyFont="1" applyBorder="1"/>
    <xf numFmtId="0" fontId="17" fillId="0" borderId="0" xfId="0" applyFont="1" applyFill="1" applyBorder="1"/>
    <xf numFmtId="165" fontId="0" fillId="0" borderId="15" xfId="0" applyNumberFormat="1" applyBorder="1"/>
    <xf numFmtId="165" fontId="0" fillId="0" borderId="10" xfId="0" applyNumberFormat="1" applyBorder="1"/>
    <xf numFmtId="9" fontId="8" fillId="0" borderId="0" xfId="0" applyNumberFormat="1" applyFont="1" applyBorder="1"/>
    <xf numFmtId="0" fontId="5" fillId="0" borderId="8" xfId="0" applyFont="1" applyBorder="1" applyAlignment="1">
      <alignment horizontal="right"/>
    </xf>
    <xf numFmtId="173" fontId="0" fillId="2" borderId="7" xfId="0" applyNumberFormat="1" applyFill="1" applyBorder="1" applyProtection="1">
      <protection locked="0"/>
    </xf>
    <xf numFmtId="173" fontId="0" fillId="2" borderId="8" xfId="0" applyNumberFormat="1" applyFill="1" applyBorder="1" applyProtection="1">
      <protection locked="0"/>
    </xf>
    <xf numFmtId="0" fontId="0" fillId="2" borderId="38" xfId="0" applyFill="1" applyBorder="1" applyAlignment="1" applyProtection="1">
      <alignment horizontal="left"/>
      <protection locked="0"/>
    </xf>
    <xf numFmtId="169" fontId="0" fillId="0" borderId="20" xfId="0" applyNumberFormat="1" applyBorder="1" applyProtection="1">
      <protection hidden="1"/>
    </xf>
    <xf numFmtId="0" fontId="5" fillId="0" borderId="34" xfId="0" applyNumberFormat="1" applyFont="1" applyBorder="1"/>
    <xf numFmtId="173" fontId="0" fillId="2" borderId="10" xfId="0" applyNumberFormat="1" applyFill="1" applyBorder="1" applyProtection="1">
      <protection locked="0"/>
    </xf>
    <xf numFmtId="173" fontId="0" fillId="2" borderId="11" xfId="0" applyNumberFormat="1" applyFill="1" applyBorder="1" applyProtection="1">
      <protection locked="0"/>
    </xf>
    <xf numFmtId="173" fontId="0" fillId="2" borderId="17" xfId="0" applyNumberFormat="1" applyFill="1" applyBorder="1" applyProtection="1">
      <protection locked="0"/>
    </xf>
    <xf numFmtId="173" fontId="0" fillId="2" borderId="18" xfId="0" applyNumberFormat="1" applyFill="1" applyBorder="1" applyProtection="1">
      <protection locked="0"/>
    </xf>
    <xf numFmtId="0" fontId="5" fillId="0" borderId="12" xfId="0" applyNumberFormat="1" applyFont="1" applyBorder="1"/>
    <xf numFmtId="0" fontId="5" fillId="0" borderId="13" xfId="0" applyNumberFormat="1" applyFont="1" applyBorder="1"/>
    <xf numFmtId="0" fontId="5" fillId="0" borderId="14" xfId="0" applyNumberFormat="1" applyFont="1" applyBorder="1"/>
    <xf numFmtId="0" fontId="3" fillId="0" borderId="0" xfId="0" applyFont="1" applyAlignment="1">
      <alignment horizontal="left" vertical="top" wrapText="1"/>
    </xf>
    <xf numFmtId="0" fontId="5" fillId="0" borderId="23" xfId="0" applyFont="1" applyFill="1" applyBorder="1"/>
    <xf numFmtId="166" fontId="5" fillId="0" borderId="0" xfId="0" applyNumberFormat="1" applyFont="1" applyFill="1" applyBorder="1"/>
    <xf numFmtId="166" fontId="0" fillId="0" borderId="0" xfId="0" applyNumberFormat="1" applyBorder="1"/>
    <xf numFmtId="166" fontId="5" fillId="0" borderId="24" xfId="0" applyNumberFormat="1" applyFont="1" applyFill="1" applyBorder="1"/>
    <xf numFmtId="166" fontId="0" fillId="0" borderId="24" xfId="0" applyNumberFormat="1" applyBorder="1"/>
    <xf numFmtId="0" fontId="5" fillId="0" borderId="25" xfId="0" applyFont="1" applyFill="1" applyBorder="1"/>
    <xf numFmtId="0" fontId="5" fillId="0" borderId="50" xfId="0" applyFont="1" applyBorder="1"/>
    <xf numFmtId="166" fontId="0" fillId="0" borderId="50" xfId="0" applyNumberFormat="1" applyBorder="1"/>
    <xf numFmtId="166" fontId="0" fillId="0" borderId="21" xfId="0" applyNumberFormat="1" applyBorder="1"/>
    <xf numFmtId="0" fontId="2" fillId="0" borderId="51" xfId="0" applyFont="1" applyBorder="1"/>
    <xf numFmtId="0" fontId="12" fillId="0" borderId="0" xfId="0" applyFont="1" applyFill="1" applyAlignment="1">
      <alignment vertical="center"/>
    </xf>
    <xf numFmtId="170" fontId="0" fillId="0" borderId="20" xfId="0" applyNumberFormat="1" applyBorder="1" applyProtection="1">
      <protection hidden="1"/>
    </xf>
    <xf numFmtId="0" fontId="3" fillId="0" borderId="0" xfId="0" applyFont="1" applyAlignment="1">
      <alignment horizontal="left" vertical="top" wrapText="1"/>
    </xf>
    <xf numFmtId="0" fontId="3" fillId="0" borderId="0" xfId="0" applyFont="1" applyAlignment="1">
      <alignment horizontal="justify" vertical="top" wrapText="1"/>
    </xf>
    <xf numFmtId="164" fontId="2" fillId="0" borderId="2" xfId="0" applyNumberFormat="1" applyFont="1" applyBorder="1" applyAlignment="1">
      <alignment horizontal="center"/>
    </xf>
    <xf numFmtId="164" fontId="2" fillId="0" borderId="4" xfId="0" applyNumberFormat="1" applyFont="1" applyBorder="1" applyAlignment="1">
      <alignment horizontal="center"/>
    </xf>
    <xf numFmtId="164" fontId="2" fillId="0" borderId="48" xfId="0" applyNumberFormat="1" applyFont="1" applyBorder="1" applyAlignment="1">
      <alignment horizontal="center"/>
    </xf>
    <xf numFmtId="164" fontId="2" fillId="0" borderId="49" xfId="0" applyNumberFormat="1" applyFont="1" applyBorder="1" applyAlignment="1">
      <alignment horizontal="center"/>
    </xf>
    <xf numFmtId="164" fontId="2" fillId="0" borderId="3" xfId="0" applyNumberFormat="1" applyFont="1" applyBorder="1" applyAlignment="1">
      <alignment horizontal="center"/>
    </xf>
  </cellXfs>
  <cellStyles count="2">
    <cellStyle name="Normal" xfId="0" builtinId="0"/>
    <cellStyle name="Porcentaje" xfId="1" builtinId="5"/>
  </cellStyles>
  <dxfs count="211">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numFmt numFmtId="167" formatCode=";;;"/>
      <fill>
        <patternFill patternType="none">
          <bgColor auto="1"/>
        </patternFill>
      </fill>
    </dxf>
    <dxf>
      <font>
        <color theme="0"/>
      </font>
    </dxf>
    <dxf>
      <font>
        <color theme="0"/>
      </font>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theme="0"/>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b/>
        <i val="0"/>
        <color rgb="FF0070C0"/>
        <name val="Cambria"/>
        <family val="1"/>
        <scheme val="none"/>
      </font>
    </dxf>
    <dxf>
      <font>
        <b/>
        <i val="0"/>
        <color theme="9"/>
        <name val="Cambria"/>
        <family val="1"/>
        <scheme val="none"/>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rgb="FFFF0000"/>
        </patternFill>
      </fill>
    </dxf>
    <dxf>
      <fill>
        <patternFill>
          <bgColor rgb="FF92D050"/>
        </patternFill>
      </fill>
    </dxf>
    <dxf>
      <font>
        <b/>
        <i val="0"/>
        <color rgb="FFFF0000"/>
      </font>
    </dxf>
  </dxfs>
  <tableStyles count="0" defaultTableStyle="TableStyleMedium2" defaultPivotStyle="PivotStyleLight16"/>
  <colors>
    <mruColors>
      <color rgb="FFCCFFCC"/>
      <color rgb="FF008000"/>
      <color rgb="FF33CC33"/>
      <color rgb="FF006600"/>
      <color rgb="FF339933"/>
      <color rgb="FF33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401369</xdr:colOff>
      <xdr:row>4</xdr:row>
      <xdr:rowOff>0</xdr:rowOff>
    </xdr:to>
    <xdr:pic>
      <xdr:nvPicPr>
        <xdr:cNvPr id="1117" name="Picture 1" descr="logo_detnov_CMYK_3D_transparente">
          <a:extLst>
            <a:ext uri="{FF2B5EF4-FFF2-40B4-BE49-F238E27FC236}">
              <a16:creationId xmlns:a16="http://schemas.microsoft.com/office/drawing/2014/main" id="{28E18D49-5CDD-4009-8297-70E84BA13D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65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517135</xdr:colOff>
      <xdr:row>4</xdr:row>
      <xdr:rowOff>0</xdr:rowOff>
    </xdr:to>
    <xdr:pic>
      <xdr:nvPicPr>
        <xdr:cNvPr id="2" name="Picture 1" descr="logo_detnov_CMYK_3D_transparente">
          <a:extLst>
            <a:ext uri="{FF2B5EF4-FFF2-40B4-BE49-F238E27FC236}">
              <a16:creationId xmlns:a16="http://schemas.microsoft.com/office/drawing/2014/main" id="{75B861D0-9ECE-4E8D-A6A0-3B6F220039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15676"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513325</xdr:colOff>
      <xdr:row>4</xdr:row>
      <xdr:rowOff>0</xdr:rowOff>
    </xdr:to>
    <xdr:pic>
      <xdr:nvPicPr>
        <xdr:cNvPr id="2" name="Picture 1" descr="logo_detnov_CMYK_3D_transparente">
          <a:extLst>
            <a:ext uri="{FF2B5EF4-FFF2-40B4-BE49-F238E27FC236}">
              <a16:creationId xmlns:a16="http://schemas.microsoft.com/office/drawing/2014/main" id="{05322A33-FFCF-4654-A736-049578B14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2696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517135</xdr:colOff>
      <xdr:row>4</xdr:row>
      <xdr:rowOff>0</xdr:rowOff>
    </xdr:to>
    <xdr:pic>
      <xdr:nvPicPr>
        <xdr:cNvPr id="2" name="Picture 1" descr="logo_detnov_CMYK_3D_transparente">
          <a:extLst>
            <a:ext uri="{FF2B5EF4-FFF2-40B4-BE49-F238E27FC236}">
              <a16:creationId xmlns:a16="http://schemas.microsoft.com/office/drawing/2014/main" id="{449F0529-5CD1-4FA4-A8D9-97C26C1FF5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231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513325</xdr:colOff>
      <xdr:row>4</xdr:row>
      <xdr:rowOff>0</xdr:rowOff>
    </xdr:to>
    <xdr:pic>
      <xdr:nvPicPr>
        <xdr:cNvPr id="2" name="Picture 1" descr="logo_detnov_CMYK_3D_transparente">
          <a:extLst>
            <a:ext uri="{FF2B5EF4-FFF2-40B4-BE49-F238E27FC236}">
              <a16:creationId xmlns:a16="http://schemas.microsoft.com/office/drawing/2014/main" id="{AE2BD88F-1AA4-45C7-82E3-41B593ADA7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2696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517135</xdr:colOff>
      <xdr:row>4</xdr:row>
      <xdr:rowOff>0</xdr:rowOff>
    </xdr:to>
    <xdr:pic>
      <xdr:nvPicPr>
        <xdr:cNvPr id="2" name="Picture 1" descr="logo_detnov_CMYK_3D_transparente">
          <a:extLst>
            <a:ext uri="{FF2B5EF4-FFF2-40B4-BE49-F238E27FC236}">
              <a16:creationId xmlns:a16="http://schemas.microsoft.com/office/drawing/2014/main" id="{9D2B4E8F-7257-4B9F-ABC1-C6DC2B7C19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231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513325</xdr:colOff>
      <xdr:row>4</xdr:row>
      <xdr:rowOff>0</xdr:rowOff>
    </xdr:to>
    <xdr:pic>
      <xdr:nvPicPr>
        <xdr:cNvPr id="2" name="Picture 1" descr="logo_detnov_CMYK_3D_transparente">
          <a:extLst>
            <a:ext uri="{FF2B5EF4-FFF2-40B4-BE49-F238E27FC236}">
              <a16:creationId xmlns:a16="http://schemas.microsoft.com/office/drawing/2014/main" id="{522F8DDD-ED78-4816-A60D-010CC0A26BA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2696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517135</xdr:colOff>
      <xdr:row>4</xdr:row>
      <xdr:rowOff>0</xdr:rowOff>
    </xdr:to>
    <xdr:pic>
      <xdr:nvPicPr>
        <xdr:cNvPr id="2" name="Picture 1" descr="logo_detnov_CMYK_3D_transparente">
          <a:extLst>
            <a:ext uri="{FF2B5EF4-FFF2-40B4-BE49-F238E27FC236}">
              <a16:creationId xmlns:a16="http://schemas.microsoft.com/office/drawing/2014/main" id="{2877BBB0-7526-45B0-8C4D-9C74AD15F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2315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513325</xdr:colOff>
      <xdr:row>4</xdr:row>
      <xdr:rowOff>0</xdr:rowOff>
    </xdr:to>
    <xdr:pic>
      <xdr:nvPicPr>
        <xdr:cNvPr id="2" name="Picture 1" descr="logo_detnov_CMYK_3D_transparente">
          <a:extLst>
            <a:ext uri="{FF2B5EF4-FFF2-40B4-BE49-F238E27FC236}">
              <a16:creationId xmlns:a16="http://schemas.microsoft.com/office/drawing/2014/main" id="{836DE1CD-B65B-478F-A1C2-731D13EE34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92696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Q42"/>
  <sheetViews>
    <sheetView tabSelected="1" zoomScale="130" zoomScaleNormal="130" workbookViewId="0">
      <pane ySplit="7" topLeftCell="A11" activePane="bottomLeft" state="frozen"/>
      <selection pane="bottomLeft" activeCell="A15" sqref="A15"/>
    </sheetView>
  </sheetViews>
  <sheetFormatPr baseColWidth="10" defaultRowHeight="12.75" x14ac:dyDescent="0.2"/>
  <cols>
    <col min="1" max="1" width="24.28515625" customWidth="1"/>
    <col min="2" max="2" width="12.28515625" customWidth="1"/>
    <col min="3" max="3" width="11.140625" customWidth="1"/>
    <col min="4" max="4" width="5.28515625" customWidth="1"/>
    <col min="5" max="5" width="15.42578125" customWidth="1"/>
    <col min="6" max="6" width="7.42578125" customWidth="1"/>
    <col min="7" max="7" width="10.7109375" hidden="1" customWidth="1"/>
    <col min="8" max="8" width="15.5703125" customWidth="1"/>
    <col min="9" max="10" width="10.7109375" customWidth="1"/>
    <col min="12" max="12" width="12.42578125" bestFit="1" customWidth="1"/>
    <col min="14" max="16" width="11.5703125" customWidth="1"/>
  </cols>
  <sheetData>
    <row r="1" spans="1:17" x14ac:dyDescent="0.2">
      <c r="H1" s="1"/>
      <c r="I1" s="2"/>
    </row>
    <row r="2" spans="1:17" x14ac:dyDescent="0.2">
      <c r="E2" s="32"/>
      <c r="H2" s="1"/>
      <c r="I2" s="2"/>
    </row>
    <row r="3" spans="1:17" ht="15" x14ac:dyDescent="0.25">
      <c r="A3" s="3"/>
      <c r="E3" s="32"/>
      <c r="H3" s="1"/>
      <c r="I3" s="2"/>
    </row>
    <row r="4" spans="1:17" ht="15" x14ac:dyDescent="0.25">
      <c r="A4" s="3"/>
      <c r="H4" s="1"/>
      <c r="I4" s="2"/>
    </row>
    <row r="5" spans="1:17" ht="14.45" customHeight="1" x14ac:dyDescent="0.25">
      <c r="A5" s="3"/>
      <c r="E5" s="230"/>
      <c r="F5" s="230"/>
      <c r="G5" s="230"/>
      <c r="H5" s="230"/>
      <c r="I5" s="230"/>
      <c r="J5" s="230"/>
    </row>
    <row r="6" spans="1:17" ht="14.45" customHeight="1" x14ac:dyDescent="0.25">
      <c r="A6" s="3"/>
      <c r="E6" s="230"/>
      <c r="F6" s="230"/>
      <c r="G6" s="230"/>
      <c r="H6" s="230"/>
      <c r="I6" s="230"/>
      <c r="J6" s="230"/>
    </row>
    <row r="7" spans="1:17" s="7" customFormat="1" ht="13.5" thickBot="1" x14ac:dyDescent="0.25">
      <c r="A7" s="4" t="s">
        <v>199</v>
      </c>
      <c r="B7" s="4"/>
      <c r="C7" s="4"/>
      <c r="D7" s="4"/>
      <c r="E7" s="4"/>
      <c r="F7" s="4"/>
      <c r="G7" s="4"/>
      <c r="H7" s="6"/>
      <c r="I7" s="5"/>
      <c r="J7" s="16" t="s">
        <v>132</v>
      </c>
    </row>
    <row r="8" spans="1:17" s="7" customFormat="1" x14ac:dyDescent="0.2">
      <c r="A8" s="29"/>
      <c r="B8" s="29"/>
      <c r="C8" s="29"/>
      <c r="D8" s="29"/>
      <c r="E8" s="29"/>
      <c r="F8" s="29"/>
      <c r="G8" s="29"/>
      <c r="H8" s="36"/>
      <c r="I8" s="37"/>
      <c r="J8" s="38"/>
    </row>
    <row r="9" spans="1:17" s="7" customFormat="1" ht="13.5" thickBot="1" x14ac:dyDescent="0.25">
      <c r="A9" s="29"/>
      <c r="B9" s="29"/>
      <c r="C9" s="29"/>
      <c r="D9" s="29"/>
      <c r="E9" s="29"/>
      <c r="F9" s="29"/>
      <c r="H9" s="29"/>
      <c r="I9" s="15" t="s">
        <v>113</v>
      </c>
    </row>
    <row r="10" spans="1:17" s="7" customFormat="1" ht="15.75" thickBot="1" x14ac:dyDescent="0.25">
      <c r="A10" s="93" t="s">
        <v>80</v>
      </c>
      <c r="B10" s="9"/>
      <c r="C10" s="10"/>
      <c r="E10" s="29"/>
      <c r="F10" s="29"/>
      <c r="H10" s="94" t="s">
        <v>42</v>
      </c>
      <c r="I10" s="63"/>
      <c r="J10" s="38"/>
      <c r="N10" s="17"/>
      <c r="O10" s="17"/>
      <c r="P10" s="17"/>
      <c r="Q10"/>
    </row>
    <row r="11" spans="1:17" s="7" customFormat="1" x14ac:dyDescent="0.2">
      <c r="A11" s="33" t="s">
        <v>47</v>
      </c>
      <c r="B11" s="42">
        <v>72</v>
      </c>
      <c r="C11" s="18" t="s">
        <v>48</v>
      </c>
      <c r="D11" s="15" t="s">
        <v>61</v>
      </c>
      <c r="E11" s="29"/>
      <c r="F11" s="29"/>
      <c r="H11" s="25" t="s">
        <v>43</v>
      </c>
      <c r="I11" s="206" t="s">
        <v>188</v>
      </c>
      <c r="J11" s="11"/>
      <c r="L11" s="17"/>
      <c r="M11"/>
      <c r="N11"/>
      <c r="O11"/>
    </row>
    <row r="12" spans="1:17" ht="13.5" thickBot="1" x14ac:dyDescent="0.25">
      <c r="A12" s="26" t="s">
        <v>49</v>
      </c>
      <c r="B12" s="43">
        <v>30</v>
      </c>
      <c r="C12" s="34" t="s">
        <v>50</v>
      </c>
      <c r="D12" s="15" t="s">
        <v>62</v>
      </c>
      <c r="E12" s="29"/>
      <c r="F12" s="29"/>
      <c r="H12" s="39" t="s">
        <v>44</v>
      </c>
      <c r="I12" s="62">
        <v>0.5</v>
      </c>
      <c r="J12" s="28"/>
      <c r="M12" s="17"/>
    </row>
    <row r="13" spans="1:17" ht="13.5" thickBot="1" x14ac:dyDescent="0.25">
      <c r="B13" s="32" t="str">
        <f>IF(B11=24,"Note: this value does not comply with EN 54"," ")</f>
        <v xml:space="preserve"> </v>
      </c>
      <c r="F13" s="31"/>
      <c r="H13" s="39" t="s">
        <v>45</v>
      </c>
      <c r="I13" s="62">
        <v>0.5</v>
      </c>
      <c r="M13" s="17"/>
    </row>
    <row r="14" spans="1:17" ht="13.5" thickBot="1" x14ac:dyDescent="0.25">
      <c r="A14" s="93" t="s">
        <v>125</v>
      </c>
      <c r="B14" s="9"/>
      <c r="C14" s="10"/>
      <c r="E14" s="11"/>
      <c r="H14" s="26" t="s">
        <v>46</v>
      </c>
      <c r="I14" s="64">
        <v>0.5</v>
      </c>
      <c r="L14" s="17"/>
    </row>
    <row r="15" spans="1:17" x14ac:dyDescent="0.2">
      <c r="A15" s="99"/>
      <c r="B15" s="97" t="e">
        <f>IF(A15&lt;&gt;" ",VLOOKUP(A15,Datos!B11:D24,2,0),0)</f>
        <v>#N/A</v>
      </c>
      <c r="C15" s="98" t="e">
        <f>IF(A15&lt;&gt;" ",VLOOKUP(A15,Datos!B11:D24,3,0),0)</f>
        <v>#N/A</v>
      </c>
      <c r="D15" s="15" t="s">
        <v>81</v>
      </c>
      <c r="E15" s="11"/>
      <c r="L15" s="17"/>
    </row>
    <row r="16" spans="1:17" ht="13.5" thickBot="1" x14ac:dyDescent="0.25">
      <c r="A16" s="209" t="s">
        <v>52</v>
      </c>
      <c r="B16" s="210">
        <f>VLOOKUP(A16,Datos!F4:H6,2,0)</f>
        <v>12</v>
      </c>
      <c r="C16" s="231">
        <f>VLOOKUP(A16,Datos!F4:H6,3,0)</f>
        <v>7.2</v>
      </c>
      <c r="D16" s="15" t="s">
        <v>51</v>
      </c>
      <c r="E16" s="11"/>
      <c r="L16" s="17"/>
    </row>
    <row r="17" spans="1:16" ht="13.5" thickBot="1" x14ac:dyDescent="0.25">
      <c r="A17" s="216"/>
      <c r="B17" s="217" t="s">
        <v>40</v>
      </c>
      <c r="C17" s="218" t="s">
        <v>41</v>
      </c>
      <c r="D17" s="15"/>
      <c r="E17" s="11"/>
      <c r="L17" s="17"/>
    </row>
    <row r="18" spans="1:16" x14ac:dyDescent="0.2">
      <c r="A18" s="78" t="s">
        <v>123</v>
      </c>
      <c r="B18" s="214"/>
      <c r="C18" s="215"/>
      <c r="D18" s="95"/>
      <c r="E18" s="80" t="str">
        <f>IF(C18&gt;0.5,"Warning: 500mA maximum current exceeded. External 24V needed","")</f>
        <v/>
      </c>
      <c r="M18" s="17"/>
      <c r="N18" s="17"/>
      <c r="O18" s="17"/>
      <c r="P18" s="17"/>
    </row>
    <row r="19" spans="1:16" x14ac:dyDescent="0.2">
      <c r="A19" s="78" t="s">
        <v>189</v>
      </c>
      <c r="B19" s="207"/>
      <c r="C19" s="208"/>
      <c r="E19" s="80" t="str">
        <f>IF(C19&gt;0.5,"Warning: 500mA maximum current exceeded. External 24V needed","")</f>
        <v/>
      </c>
      <c r="M19" s="17"/>
      <c r="N19" s="17"/>
      <c r="O19" s="17"/>
      <c r="P19" s="17"/>
    </row>
    <row r="20" spans="1:16" ht="13.5" thickBot="1" x14ac:dyDescent="0.25">
      <c r="A20" s="211" t="s">
        <v>190</v>
      </c>
      <c r="B20" s="212"/>
      <c r="C20" s="213"/>
      <c r="E20" s="80" t="str">
        <f>IF(C20&gt;0.5,"Warning: 500mA maximum current exceeded. External 24V needed","")</f>
        <v/>
      </c>
      <c r="M20" s="17"/>
      <c r="N20" s="17"/>
      <c r="O20" s="17"/>
      <c r="P20" s="17"/>
    </row>
    <row r="21" spans="1:16" ht="13.5" thickBot="1" x14ac:dyDescent="0.25">
      <c r="A21" s="33" t="s">
        <v>55</v>
      </c>
      <c r="B21" s="65" t="e">
        <f>B15+B18+B19+B20+B38+H36</f>
        <v>#N/A</v>
      </c>
      <c r="C21" s="18" t="s">
        <v>9</v>
      </c>
      <c r="E21" s="111" t="s">
        <v>130</v>
      </c>
      <c r="H21" s="8" t="s">
        <v>126</v>
      </c>
      <c r="I21" s="82"/>
      <c r="J21" s="83" t="s">
        <v>21</v>
      </c>
      <c r="M21" s="14"/>
      <c r="N21" s="30"/>
      <c r="O21" s="14"/>
      <c r="P21" s="14"/>
    </row>
    <row r="22" spans="1:16" ht="13.5" thickBot="1" x14ac:dyDescent="0.25">
      <c r="A22" s="26" t="s">
        <v>56</v>
      </c>
      <c r="B22" s="66" t="e">
        <f>C38+C15+C18+C19+C20+H36</f>
        <v>#N/A</v>
      </c>
      <c r="C22" s="34" t="s">
        <v>9</v>
      </c>
      <c r="E22" s="180" t="e">
        <f>B23</f>
        <v>#N/A</v>
      </c>
      <c r="H22" s="87" t="s">
        <v>129</v>
      </c>
      <c r="I22" s="88" t="s">
        <v>121</v>
      </c>
      <c r="J22" s="89" t="s">
        <v>122</v>
      </c>
      <c r="M22" s="14"/>
      <c r="N22" s="30"/>
      <c r="O22" s="14"/>
      <c r="P22" s="14"/>
    </row>
    <row r="23" spans="1:16" s="14" customFormat="1" ht="13.5" thickBot="1" x14ac:dyDescent="0.25">
      <c r="A23" s="181" t="s">
        <v>57</v>
      </c>
      <c r="B23" s="67" t="e">
        <f>1.25*C23</f>
        <v>#N/A</v>
      </c>
      <c r="C23" s="79" t="e">
        <f>(B21*B11)+(B22*0.5)</f>
        <v>#N/A</v>
      </c>
      <c r="D23" s="109" t="e">
        <f>ROUNDUP(B23,1)</f>
        <v>#N/A</v>
      </c>
      <c r="E23" s="12"/>
      <c r="F23" s="13"/>
      <c r="H23" s="84" t="e">
        <f>(7.5-($B$22*0.5))/$B$21</f>
        <v>#N/A</v>
      </c>
      <c r="I23" s="85" t="e">
        <f>(18-($B$22*0.5))/$B$21</f>
        <v>#N/A</v>
      </c>
      <c r="J23" s="86" t="e">
        <f>(24-($B$22*0.5))/$B$21</f>
        <v>#N/A</v>
      </c>
      <c r="M23"/>
      <c r="N23" s="30"/>
      <c r="O23"/>
      <c r="P23"/>
    </row>
    <row r="24" spans="1:16" s="14" customFormat="1" x14ac:dyDescent="0.2">
      <c r="A24" s="12" t="s">
        <v>58</v>
      </c>
      <c r="B24" s="68" t="e">
        <f>IF(B23&lt;=$C$16,"OK","Need battery:")</f>
        <v>#N/A</v>
      </c>
      <c r="C24" s="110" t="e">
        <f>IF(B24&lt;&gt;"OK",INDEX(Datos!J4:J6,'System Calculation'!D24)," ")</f>
        <v>#N/A</v>
      </c>
      <c r="D24" s="201" t="e">
        <f>MATCH(D23,Datos!I4:I6,-1)</f>
        <v>#N/A</v>
      </c>
      <c r="E24" s="202"/>
      <c r="F24" s="13"/>
      <c r="G24" s="13"/>
      <c r="H24" s="96" t="s">
        <v>127</v>
      </c>
    </row>
    <row r="25" spans="1:16" x14ac:dyDescent="0.2">
      <c r="A25" s="14"/>
      <c r="B25" s="110" t="e">
        <f>IF(E22&gt;24,"Need external power supply:")</f>
        <v>#N/A</v>
      </c>
      <c r="D25" s="14"/>
      <c r="E25" s="32" t="e">
        <f>IF($B$25&lt;&gt;FALSE,Datos!I34," ")</f>
        <v>#N/A</v>
      </c>
    </row>
    <row r="26" spans="1:16" s="7" customFormat="1" x14ac:dyDescent="0.2">
      <c r="A26" s="29"/>
      <c r="B26" s="80" t="e">
        <f>IF((C24&lt;&gt;A16)*AND(B24&lt;&gt;"OK"),"See control panel batteries list."," ")</f>
        <v>#N/A</v>
      </c>
      <c r="C26" s="29"/>
      <c r="D26" s="29"/>
      <c r="E26" s="32" t="e">
        <f>IF((B26&lt;&gt;0)*AND(B24&lt;&gt;"OK"),"If battery needed is not in the list, then need external power supply:"," ")</f>
        <v>#N/A</v>
      </c>
      <c r="F26" s="80"/>
      <c r="G26" s="80"/>
      <c r="H26" s="205"/>
      <c r="I26" s="32"/>
      <c r="J26" s="32"/>
      <c r="K26" s="32" t="e">
        <f>IF(($B$26&lt;&gt;FALSE)*AND(B24&lt;&gt;"OK"),Datos!I34," ")</f>
        <v>#N/A</v>
      </c>
    </row>
    <row r="27" spans="1:16" s="7" customFormat="1" x14ac:dyDescent="0.2">
      <c r="A27" s="29"/>
      <c r="B27" s="80"/>
      <c r="C27" s="29"/>
      <c r="D27" s="29"/>
      <c r="E27" s="29"/>
      <c r="F27" s="29"/>
      <c r="G27" s="29"/>
      <c r="H27" s="36"/>
      <c r="I27" s="37"/>
      <c r="J27" s="38"/>
    </row>
    <row r="28" spans="1:16" ht="13.5" thickBot="1" x14ac:dyDescent="0.25">
      <c r="F28" s="15" t="s">
        <v>128</v>
      </c>
    </row>
    <row r="29" spans="1:16" s="7" customFormat="1" ht="13.5" thickBot="1" x14ac:dyDescent="0.25">
      <c r="A29" s="92" t="s">
        <v>64</v>
      </c>
      <c r="B29" s="90" t="s">
        <v>40</v>
      </c>
      <c r="C29" s="91" t="s">
        <v>41</v>
      </c>
      <c r="E29" s="102" t="s">
        <v>114</v>
      </c>
      <c r="F29" s="100" t="s">
        <v>1</v>
      </c>
      <c r="G29" s="100" t="s">
        <v>40</v>
      </c>
      <c r="H29" s="103" t="s">
        <v>40</v>
      </c>
    </row>
    <row r="30" spans="1:16" ht="13.5" thickBot="1" x14ac:dyDescent="0.25">
      <c r="A30" s="21" t="s">
        <v>65</v>
      </c>
      <c r="B30" s="65">
        <f>'SC_Loop 1'!$D$56</f>
        <v>0</v>
      </c>
      <c r="C30" s="69">
        <f>'SC_Loop 1'!$G$56</f>
        <v>0</v>
      </c>
      <c r="E30" s="81" t="s">
        <v>115</v>
      </c>
      <c r="F30" s="23">
        <v>0</v>
      </c>
      <c r="G30" s="65">
        <v>0.05</v>
      </c>
      <c r="H30" s="71">
        <f t="shared" ref="H30:H35" si="0">F30*G30</f>
        <v>0</v>
      </c>
    </row>
    <row r="31" spans="1:16" ht="13.5" thickBot="1" x14ac:dyDescent="0.25">
      <c r="A31" s="22" t="s">
        <v>66</v>
      </c>
      <c r="B31" s="65">
        <f>'SC_Loop 2'!$D$56</f>
        <v>0</v>
      </c>
      <c r="C31" s="69">
        <f>'SC_Loop 2'!$G$56</f>
        <v>0</v>
      </c>
      <c r="D31" s="30"/>
      <c r="E31" s="81" t="s">
        <v>116</v>
      </c>
      <c r="F31" s="23">
        <v>0</v>
      </c>
      <c r="G31" s="65">
        <v>0.05</v>
      </c>
      <c r="H31" s="71">
        <f t="shared" si="0"/>
        <v>0</v>
      </c>
    </row>
    <row r="32" spans="1:16" ht="13.5" thickBot="1" x14ac:dyDescent="0.25">
      <c r="A32" s="22" t="s">
        <v>67</v>
      </c>
      <c r="B32" s="65">
        <f>'SC_Loop 3'!$D$56</f>
        <v>0</v>
      </c>
      <c r="C32" s="69">
        <f>'SC_Loop 3'!$G$56</f>
        <v>0</v>
      </c>
      <c r="E32" s="81" t="s">
        <v>117</v>
      </c>
      <c r="F32" s="23">
        <v>0</v>
      </c>
      <c r="G32" s="65">
        <v>0.05</v>
      </c>
      <c r="H32" s="71">
        <f t="shared" si="0"/>
        <v>0</v>
      </c>
    </row>
    <row r="33" spans="1:10" ht="13.5" thickBot="1" x14ac:dyDescent="0.25">
      <c r="A33" s="22" t="s">
        <v>68</v>
      </c>
      <c r="B33" s="65">
        <f>'SC_Loop 4'!$D$56</f>
        <v>0</v>
      </c>
      <c r="C33" s="69">
        <f>'SC_Loop 4'!$G$56</f>
        <v>0</v>
      </c>
      <c r="E33" s="81" t="s">
        <v>118</v>
      </c>
      <c r="F33" s="23">
        <v>0</v>
      </c>
      <c r="G33" s="65">
        <v>0.05</v>
      </c>
      <c r="H33" s="71">
        <f t="shared" si="0"/>
        <v>0</v>
      </c>
    </row>
    <row r="34" spans="1:10" ht="13.5" thickBot="1" x14ac:dyDescent="0.25">
      <c r="A34" s="22" t="s">
        <v>69</v>
      </c>
      <c r="B34" s="65">
        <f>'SC_Loop 5'!$D$56</f>
        <v>0</v>
      </c>
      <c r="C34" s="69">
        <f>'SC_Loop 5'!$G$56</f>
        <v>0</v>
      </c>
      <c r="E34" s="81" t="s">
        <v>119</v>
      </c>
      <c r="F34" s="23">
        <v>0</v>
      </c>
      <c r="G34" s="65">
        <v>0.05</v>
      </c>
      <c r="H34" s="71">
        <f t="shared" si="0"/>
        <v>0</v>
      </c>
    </row>
    <row r="35" spans="1:10" ht="13.5" thickBot="1" x14ac:dyDescent="0.25">
      <c r="A35" s="22" t="s">
        <v>70</v>
      </c>
      <c r="B35" s="65">
        <f>'SC_Loop 6'!$D$56</f>
        <v>0</v>
      </c>
      <c r="C35" s="69">
        <f>'SC_Loop 6'!$G$56</f>
        <v>0</v>
      </c>
      <c r="E35" s="107" t="s">
        <v>120</v>
      </c>
      <c r="F35" s="27">
        <v>0</v>
      </c>
      <c r="G35" s="65">
        <v>0.05</v>
      </c>
      <c r="H35" s="108">
        <f t="shared" si="0"/>
        <v>0</v>
      </c>
    </row>
    <row r="36" spans="1:10" ht="13.5" thickBot="1" x14ac:dyDescent="0.25">
      <c r="A36" s="22" t="s">
        <v>71</v>
      </c>
      <c r="B36" s="65">
        <f>'SC_Loop 7'!$D$56</f>
        <v>0</v>
      </c>
      <c r="C36" s="69">
        <f>'SC_Loop 7'!$G$56</f>
        <v>0</v>
      </c>
      <c r="E36" s="104"/>
      <c r="F36" s="105">
        <f>SUM(F30:F35)</f>
        <v>0</v>
      </c>
      <c r="G36" s="101"/>
      <c r="H36" s="106">
        <f>SUM(H30:H35)</f>
        <v>0</v>
      </c>
    </row>
    <row r="37" spans="1:10" ht="13.5" thickBot="1" x14ac:dyDescent="0.25">
      <c r="A37" s="22" t="s">
        <v>72</v>
      </c>
      <c r="B37" s="65">
        <f>'SC_Loop 8'!$D$56</f>
        <v>0</v>
      </c>
      <c r="C37" s="69">
        <f>'SC_Loop 8'!$G$56</f>
        <v>0</v>
      </c>
      <c r="E37" s="32"/>
      <c r="F37" s="32" t="str">
        <f>IF(F36&gt;1,"Warning: maximum 1 communication card in the control panel","")</f>
        <v/>
      </c>
    </row>
    <row r="38" spans="1:10" s="7" customFormat="1" ht="13.5" thickBot="1" x14ac:dyDescent="0.25">
      <c r="A38" s="19" t="s">
        <v>8</v>
      </c>
      <c r="B38" s="72">
        <f>SUM(B30:B37)</f>
        <v>0</v>
      </c>
      <c r="C38" s="73">
        <f>SUM(C30:C37)</f>
        <v>0</v>
      </c>
      <c r="E38"/>
      <c r="F38"/>
      <c r="G38"/>
      <c r="H38"/>
    </row>
    <row r="39" spans="1:10" ht="14.45" customHeight="1" x14ac:dyDescent="0.2"/>
    <row r="40" spans="1:10" ht="14.45" customHeight="1" x14ac:dyDescent="0.2">
      <c r="E40" s="179"/>
      <c r="F40" s="179"/>
      <c r="G40" s="179"/>
      <c r="H40" s="179"/>
    </row>
    <row r="41" spans="1:10" x14ac:dyDescent="0.2">
      <c r="E41" s="219"/>
      <c r="F41" s="219"/>
      <c r="G41" s="219"/>
      <c r="H41" s="219"/>
    </row>
    <row r="42" spans="1:10" ht="27" customHeight="1" x14ac:dyDescent="0.2">
      <c r="A42" s="232" t="s">
        <v>13</v>
      </c>
      <c r="B42" s="232"/>
      <c r="C42" s="232"/>
      <c r="D42" s="232"/>
      <c r="E42" s="232"/>
      <c r="F42" s="232"/>
      <c r="G42" s="232"/>
      <c r="H42" s="232"/>
      <c r="I42" s="232"/>
      <c r="J42" s="232"/>
    </row>
  </sheetData>
  <sheetProtection algorithmName="SHA-512" hashValue="0enAtns83rQsKjZ/cUfdZ9RZXsxWh6E334JifB/o3aWalB+ldIvTeo88NX81Dp5kjD+3T+cprcvNlLOmMcOQWg==" saltValue="rUXP74wEcRBqQ6RB8olgIQ==" spinCount="100000" sheet="1" selectLockedCells="1" sort="0" autoFilter="0" pivotTables="0"/>
  <mergeCells count="1">
    <mergeCell ref="A42:J42"/>
  </mergeCells>
  <phoneticPr fontId="0" type="noConversion"/>
  <conditionalFormatting sqref="B24">
    <cfRule type="beginsWith" dxfId="210" priority="11" operator="beginsWith" text="Need">
      <formula>LEFT(B24,LEN("Need"))="Need"</formula>
    </cfRule>
    <cfRule type="containsText" dxfId="209" priority="12" operator="containsText" text="OK">
      <formula>NOT(ISERROR(SEARCH("OK",B24)))</formula>
    </cfRule>
  </conditionalFormatting>
  <conditionalFormatting sqref="H23:J23">
    <cfRule type="cellIs" dxfId="208" priority="9" operator="lessThan">
      <formula>$B$11</formula>
    </cfRule>
  </conditionalFormatting>
  <conditionalFormatting sqref="B25">
    <cfRule type="containsText" dxfId="207" priority="8" operator="containsText" text="FALSO">
      <formula>NOT(ISERROR(SEARCH("FALSO",B25)))</formula>
    </cfRule>
  </conditionalFormatting>
  <conditionalFormatting sqref="C24">
    <cfRule type="containsErrors" dxfId="206" priority="7">
      <formula>ISERROR(C24)</formula>
    </cfRule>
  </conditionalFormatting>
  <conditionalFormatting sqref="D24">
    <cfRule type="containsErrors" dxfId="205" priority="6">
      <formula>ISERROR(D24)</formula>
    </cfRule>
  </conditionalFormatting>
  <conditionalFormatting sqref="B26 E26">
    <cfRule type="containsErrors" dxfId="204" priority="5">
      <formula>ISERROR(B26)</formula>
    </cfRule>
  </conditionalFormatting>
  <conditionalFormatting sqref="K26">
    <cfRule type="containsErrors" dxfId="203" priority="4">
      <formula>ISERROR(K26)</formula>
    </cfRule>
  </conditionalFormatting>
  <conditionalFormatting sqref="B21:B27">
    <cfRule type="containsErrors" dxfId="202" priority="3">
      <formula>ISERROR(B21)</formula>
    </cfRule>
  </conditionalFormatting>
  <conditionalFormatting sqref="C23:E26">
    <cfRule type="containsErrors" dxfId="201" priority="2">
      <formula>ISERROR(C23)</formula>
    </cfRule>
  </conditionalFormatting>
  <conditionalFormatting sqref="E22 H23:J23">
    <cfRule type="containsErrors" dxfId="200" priority="1">
      <formula>ISERROR(E22)</formula>
    </cfRule>
  </conditionalFormatting>
  <dataValidations xWindow="184" yWindow="607" count="3">
    <dataValidation type="list" allowBlank="1" showInputMessage="1" showErrorMessage="1" promptTitle="Control panel batteries list" prompt="If control panel is changed, select the batteries according to new panel" sqref="A16" xr:uid="{D4BEC6C3-5D66-414A-B1B6-5009C778E994}">
      <formula1>INDIRECT($A$15)</formula1>
    </dataValidation>
    <dataValidation type="list" allowBlank="1" showInputMessage="1" showErrorMessage="1" prompt="If control panel is changed, select the batterie according to new panel" sqref="A15" xr:uid="{A4C2F7A5-8AD8-411C-B2BD-B47F178F91D0}">
      <formula1>Centrales</formula1>
    </dataValidation>
    <dataValidation allowBlank="1" showInputMessage="1" showErrorMessage="1" promptTitle="Control panel batteries list" prompt="If control panel is changed, select the batteries according to new panel" sqref="A17" xr:uid="{30903E37-0F9F-4E1D-904D-B74C5D2DB9EE}"/>
  </dataValidations>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xWindow="184" yWindow="607" count="3">
        <x14:dataValidation type="list" allowBlank="1" showInputMessage="1" showErrorMessage="1" xr:uid="{32D5377E-EF7D-471D-971A-0C8C3E32D587}">
          <x14:formula1>
            <xm:f>Datos!$D$4:$D$5</xm:f>
          </x14:formula1>
          <xm:sqref>B12</xm:sqref>
        </x14:dataValidation>
        <x14:dataValidation type="list" allowBlank="1" showInputMessage="1" showErrorMessage="1" xr:uid="{BC28AFA3-4724-4C4A-87D5-598D22F9CD91}">
          <x14:formula1>
            <xm:f>Datos!$F$11:$F$12</xm:f>
          </x14:formula1>
          <xm:sqref>F30:F35</xm:sqref>
        </x14:dataValidation>
        <x14:dataValidation type="list" allowBlank="1" showInputMessage="1" showErrorMessage="1" xr:uid="{30572B37-9CE0-4496-9299-509A6D22F983}">
          <x14:formula1>
            <xm:f>Datos!$C$4:$C$7</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0769A-1B68-493D-ACA2-0E72F2AF1D3B}">
  <sheetPr codeName="Hoja10">
    <pageSetUpPr fitToPage="1"/>
  </sheetPr>
  <dimension ref="A1:N90"/>
  <sheetViews>
    <sheetView zoomScale="120" zoomScaleNormal="120" workbookViewId="0">
      <pane ySplit="7" topLeftCell="A8" activePane="bottomLeft" state="frozen"/>
      <selection activeCell="A16" sqref="A16"/>
      <selection pane="bottomLeft" activeCell="B10" sqref="B10"/>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187</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 t="shared" ref="G56:L56" si="10">SUM(G17:G55)</f>
        <v>0</v>
      </c>
      <c r="H56" s="72">
        <f t="shared" si="10"/>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c r="L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HZ5H/VUDykPf2h1wbW3nWKKeNKbTQtWzHgXDp3efndVSX2+GT8VswEspWF+9RZZF1DX+RwkLYLyfdcGk/Q74lg==" saltValue="C1kvkLkiePQ8cRrqGdpmeA==" spinCount="100000" sheet="1" selectLockedCells="1" sort="0" autoFilter="0" pivotTables="0"/>
  <mergeCells count="4">
    <mergeCell ref="J9:K9"/>
    <mergeCell ref="J10:K10"/>
    <mergeCell ref="J11:K11"/>
    <mergeCell ref="A90:L90"/>
  </mergeCells>
  <conditionalFormatting sqref="I41 N37:N40">
    <cfRule type="expression" dxfId="24" priority="23" stopIfTrue="1">
      <formula>$B$36&gt;2</formula>
    </cfRule>
    <cfRule type="expression" dxfId="23" priority="24" stopIfTrue="1">
      <formula>$B$36&lt;3</formula>
    </cfRule>
  </conditionalFormatting>
  <conditionalFormatting sqref="N33:N34">
    <cfRule type="expression" dxfId="22" priority="21" stopIfTrue="1">
      <formula>$B$35&gt;4</formula>
    </cfRule>
    <cfRule type="expression" dxfId="21" priority="22" stopIfTrue="1">
      <formula>$B$35&lt;5</formula>
    </cfRule>
  </conditionalFormatting>
  <conditionalFormatting sqref="N31">
    <cfRule type="expression" dxfId="20" priority="19" stopIfTrue="1">
      <formula>$B$36&gt;2</formula>
    </cfRule>
    <cfRule type="expression" dxfId="19" priority="20" stopIfTrue="1">
      <formula>$B$36&lt;3</formula>
    </cfRule>
  </conditionalFormatting>
  <conditionalFormatting sqref="N32">
    <cfRule type="expression" dxfId="18" priority="17" stopIfTrue="1">
      <formula>$B$36&gt;2</formula>
    </cfRule>
    <cfRule type="expression" dxfId="17" priority="18" stopIfTrue="1">
      <formula>$B$36&lt;3</formula>
    </cfRule>
  </conditionalFormatting>
  <conditionalFormatting sqref="N36">
    <cfRule type="expression" dxfId="16" priority="13" stopIfTrue="1">
      <formula>$B$36&gt;2</formula>
    </cfRule>
    <cfRule type="expression" dxfId="15" priority="14" stopIfTrue="1">
      <formula>$B$36&lt;3</formula>
    </cfRule>
  </conditionalFormatting>
  <conditionalFormatting sqref="N35">
    <cfRule type="expression" dxfId="14" priority="15" stopIfTrue="1">
      <formula>$B$36&gt;2</formula>
    </cfRule>
    <cfRule type="expression" dxfId="13" priority="16" stopIfTrue="1">
      <formula>$B$36&lt;3</formula>
    </cfRule>
  </conditionalFormatting>
  <conditionalFormatting sqref="J17:J55">
    <cfRule type="cellIs" dxfId="12" priority="12" operator="equal">
      <formula>0</formula>
    </cfRule>
  </conditionalFormatting>
  <conditionalFormatting sqref="L11">
    <cfRule type="cellIs" dxfId="11" priority="8" stopIfTrue="1" operator="equal">
      <formula>"FAIL"</formula>
    </cfRule>
  </conditionalFormatting>
  <conditionalFormatting sqref="D86">
    <cfRule type="cellIs" dxfId="10" priority="11" stopIfTrue="1" operator="equal">
      <formula>"FAIL"</formula>
    </cfRule>
  </conditionalFormatting>
  <conditionalFormatting sqref="D87">
    <cfRule type="cellIs" dxfId="9" priority="10" stopIfTrue="1" operator="equal">
      <formula>"FAIL"</formula>
    </cfRule>
  </conditionalFormatting>
  <conditionalFormatting sqref="L10">
    <cfRule type="cellIs" dxfId="8" priority="9" stopIfTrue="1" operator="equal">
      <formula>"FAIL"</formula>
    </cfRule>
  </conditionalFormatting>
  <conditionalFormatting sqref="B69:J70">
    <cfRule type="containsErrors" dxfId="7" priority="7">
      <formula>ISERROR(B69)</formula>
    </cfRule>
  </conditionalFormatting>
  <conditionalFormatting sqref="B75:J76">
    <cfRule type="containsErrors" dxfId="6" priority="6">
      <formula>ISERROR(B75)</formula>
    </cfRule>
  </conditionalFormatting>
  <conditionalFormatting sqref="B71">
    <cfRule type="containsErrors" dxfId="5" priority="25">
      <formula>ISERROR(B71)</formula>
    </cfRule>
  </conditionalFormatting>
  <conditionalFormatting sqref="D71:J71">
    <cfRule type="containsErrors" dxfId="4" priority="5">
      <formula>ISERROR(D71)</formula>
    </cfRule>
  </conditionalFormatting>
  <conditionalFormatting sqref="B77">
    <cfRule type="containsErrors" dxfId="3" priority="4">
      <formula>ISERROR(B77)</formula>
    </cfRule>
  </conditionalFormatting>
  <conditionalFormatting sqref="D77:J77">
    <cfRule type="containsErrors" dxfId="2" priority="3">
      <formula>ISERROR(D77)</formula>
    </cfRule>
  </conditionalFormatting>
  <conditionalFormatting sqref="N48">
    <cfRule type="expression" dxfId="1" priority="1" stopIfTrue="1">
      <formula>$B$35&gt;4</formula>
    </cfRule>
    <cfRule type="expression" dxfId="0"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6508ECD-6AF0-4F0E-AE81-209D87B2E2E5}">
          <x14:formula1>
            <xm:f>Datos!$F$15:$F$19</xm:f>
          </x14:formula1>
          <xm:sqref>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5133E-1250-465B-9088-6E5E8C2898AD}">
  <sheetPr codeName="Hoja1"/>
  <dimension ref="A2:Y43"/>
  <sheetViews>
    <sheetView zoomScale="120" zoomScaleNormal="120" workbookViewId="0">
      <selection activeCell="K5" sqref="K5"/>
    </sheetView>
  </sheetViews>
  <sheetFormatPr baseColWidth="10" defaultRowHeight="12.75" x14ac:dyDescent="0.2"/>
  <cols>
    <col min="1" max="1" width="26.28515625" bestFit="1" customWidth="1"/>
    <col min="2" max="2" width="26.28515625" customWidth="1"/>
    <col min="3" max="3" width="12.140625" bestFit="1" customWidth="1"/>
    <col min="8" max="8" width="14.5703125" bestFit="1" customWidth="1"/>
    <col min="11" max="11" width="19.7109375" bestFit="1" customWidth="1"/>
    <col min="12" max="21" width="9" customWidth="1"/>
  </cols>
  <sheetData>
    <row r="2" spans="1:25" x14ac:dyDescent="0.2">
      <c r="C2" s="56" t="s">
        <v>82</v>
      </c>
      <c r="D2" s="11"/>
      <c r="F2" s="55" t="s">
        <v>87</v>
      </c>
      <c r="K2" s="41"/>
      <c r="L2" s="11"/>
      <c r="M2" s="11"/>
    </row>
    <row r="3" spans="1:25" x14ac:dyDescent="0.2">
      <c r="C3" s="49" t="s">
        <v>83</v>
      </c>
      <c r="D3" s="49" t="s">
        <v>84</v>
      </c>
      <c r="F3" s="53"/>
      <c r="G3" s="49" t="s">
        <v>85</v>
      </c>
      <c r="H3" s="54" t="s">
        <v>86</v>
      </c>
      <c r="K3" s="35" t="s">
        <v>100</v>
      </c>
      <c r="L3" s="12"/>
      <c r="M3" s="12"/>
    </row>
    <row r="4" spans="1:25" x14ac:dyDescent="0.2">
      <c r="C4" s="45">
        <v>72</v>
      </c>
      <c r="D4" s="50">
        <v>30</v>
      </c>
      <c r="F4" s="45" t="s">
        <v>52</v>
      </c>
      <c r="G4" s="51">
        <v>12</v>
      </c>
      <c r="H4" s="46">
        <v>7.2</v>
      </c>
      <c r="I4" s="46">
        <v>24</v>
      </c>
      <c r="J4" t="s">
        <v>54</v>
      </c>
      <c r="K4" s="41" t="s">
        <v>101</v>
      </c>
      <c r="L4" s="41"/>
      <c r="M4" s="41"/>
    </row>
    <row r="5" spans="1:25" x14ac:dyDescent="0.2">
      <c r="C5" s="45">
        <v>30</v>
      </c>
      <c r="D5" s="51">
        <v>0</v>
      </c>
      <c r="F5" s="45" t="s">
        <v>53</v>
      </c>
      <c r="G5" s="51">
        <v>12</v>
      </c>
      <c r="H5" s="46">
        <v>18</v>
      </c>
      <c r="I5" s="46">
        <v>18</v>
      </c>
      <c r="J5" t="s">
        <v>53</v>
      </c>
      <c r="K5" s="60"/>
      <c r="L5" s="60" t="str">
        <f>K6</f>
        <v>CAD_150_1</v>
      </c>
      <c r="M5" s="60" t="str">
        <f>K7</f>
        <v>CAD_150_2</v>
      </c>
      <c r="N5" s="60" t="str">
        <f>K8</f>
        <v>CAD_150_2_MB</v>
      </c>
      <c r="O5" s="60" t="str">
        <f>K9</f>
        <v>CAD_150_4</v>
      </c>
      <c r="P5" s="60" t="str">
        <f>K10</f>
        <v>CAD_150_8_4loop</v>
      </c>
      <c r="Q5" s="60" t="str">
        <f>K11</f>
        <v>CAD_150_8_6loop</v>
      </c>
      <c r="R5" s="60" t="str">
        <f>K12</f>
        <v>CAD_150_8_8loop</v>
      </c>
      <c r="S5" s="60" t="str">
        <f>K13</f>
        <v>CAD_150_8PLUS_4loop</v>
      </c>
      <c r="T5" s="60" t="str">
        <f>K14</f>
        <v>CAD_150_8PLUS_6loop</v>
      </c>
      <c r="U5" s="60" t="str">
        <f>K15</f>
        <v>CAD_150_8PLUS_8loop</v>
      </c>
      <c r="V5" t="str">
        <f>K16</f>
        <v>CAD_150_4_P</v>
      </c>
      <c r="W5" t="str">
        <f>K17</f>
        <v>CAD_150_8PLUS_P_4loop</v>
      </c>
      <c r="X5" t="str">
        <f>K18</f>
        <v>CAD_150_8PLUS_P_6loop</v>
      </c>
      <c r="Y5" t="str">
        <f>K19</f>
        <v>CAD_150_8PLUS_P_8loop</v>
      </c>
    </row>
    <row r="6" spans="1:25" x14ac:dyDescent="0.2">
      <c r="C6">
        <v>24</v>
      </c>
      <c r="F6" s="47" t="s">
        <v>54</v>
      </c>
      <c r="G6" s="52">
        <v>12</v>
      </c>
      <c r="H6" s="48">
        <v>24</v>
      </c>
      <c r="I6" s="48">
        <v>7.2</v>
      </c>
      <c r="J6" t="s">
        <v>54</v>
      </c>
      <c r="K6" s="60" t="s">
        <v>102</v>
      </c>
      <c r="L6" s="60" t="s">
        <v>52</v>
      </c>
      <c r="M6" s="60" t="s">
        <v>52</v>
      </c>
      <c r="N6" s="60" t="s">
        <v>52</v>
      </c>
      <c r="O6" s="60" t="s">
        <v>52</v>
      </c>
      <c r="P6" s="60" t="s">
        <v>52</v>
      </c>
      <c r="Q6" s="60" t="s">
        <v>52</v>
      </c>
      <c r="R6" s="60" t="s">
        <v>52</v>
      </c>
      <c r="S6" s="77" t="s">
        <v>52</v>
      </c>
      <c r="T6" s="77" t="s">
        <v>52</v>
      </c>
      <c r="U6" s="77" t="s">
        <v>52</v>
      </c>
      <c r="V6" s="77" t="s">
        <v>52</v>
      </c>
      <c r="W6" s="77" t="s">
        <v>52</v>
      </c>
      <c r="X6" s="77" t="s">
        <v>52</v>
      </c>
      <c r="Y6" s="77" t="s">
        <v>52</v>
      </c>
    </row>
    <row r="7" spans="1:25" x14ac:dyDescent="0.2">
      <c r="A7" s="7"/>
      <c r="B7" s="7"/>
      <c r="C7" s="47">
        <v>4</v>
      </c>
      <c r="D7" s="52"/>
      <c r="K7" s="60" t="s">
        <v>103</v>
      </c>
      <c r="L7" s="61"/>
      <c r="M7" s="61"/>
      <c r="N7" s="61"/>
      <c r="O7" s="61"/>
      <c r="P7" s="60" t="s">
        <v>53</v>
      </c>
      <c r="Q7" s="60" t="s">
        <v>53</v>
      </c>
      <c r="R7" s="60" t="s">
        <v>53</v>
      </c>
      <c r="S7" s="60" t="s">
        <v>53</v>
      </c>
      <c r="T7" s="60" t="s">
        <v>53</v>
      </c>
      <c r="U7" s="60" t="s">
        <v>53</v>
      </c>
      <c r="W7" s="60" t="s">
        <v>53</v>
      </c>
      <c r="X7" s="60" t="s">
        <v>53</v>
      </c>
      <c r="Y7" s="60" t="s">
        <v>53</v>
      </c>
    </row>
    <row r="8" spans="1:25" x14ac:dyDescent="0.2">
      <c r="A8" s="7"/>
      <c r="B8" s="7"/>
      <c r="K8" s="60" t="s">
        <v>104</v>
      </c>
      <c r="L8" s="61"/>
      <c r="M8" s="61"/>
      <c r="N8" s="61"/>
      <c r="O8" s="61"/>
      <c r="P8" s="61"/>
      <c r="Q8" s="61"/>
      <c r="R8" s="61"/>
      <c r="S8" s="60" t="s">
        <v>54</v>
      </c>
      <c r="T8" s="60" t="s">
        <v>54</v>
      </c>
      <c r="U8" s="60" t="s">
        <v>54</v>
      </c>
      <c r="W8" s="60" t="s">
        <v>54</v>
      </c>
      <c r="X8" s="60" t="s">
        <v>54</v>
      </c>
      <c r="Y8" s="60" t="s">
        <v>54</v>
      </c>
    </row>
    <row r="9" spans="1:25" x14ac:dyDescent="0.2">
      <c r="A9" s="55" t="s">
        <v>88</v>
      </c>
      <c r="B9" s="7"/>
      <c r="F9" s="55" t="s">
        <v>87</v>
      </c>
      <c r="K9" s="60" t="s">
        <v>105</v>
      </c>
      <c r="L9" s="61"/>
      <c r="M9" s="61"/>
      <c r="N9" s="61"/>
      <c r="O9" s="61"/>
      <c r="P9" s="61"/>
      <c r="Q9" s="61"/>
      <c r="R9" s="61"/>
      <c r="S9" s="61"/>
      <c r="T9" s="61"/>
      <c r="U9" s="61"/>
    </row>
    <row r="10" spans="1:25" x14ac:dyDescent="0.2">
      <c r="A10" s="53" t="s">
        <v>89</v>
      </c>
      <c r="B10" s="229"/>
      <c r="C10" s="229" t="s">
        <v>90</v>
      </c>
      <c r="D10" s="54" t="s">
        <v>91</v>
      </c>
      <c r="F10" s="49" t="s">
        <v>124</v>
      </c>
      <c r="K10" s="60" t="s">
        <v>106</v>
      </c>
      <c r="L10" s="61"/>
      <c r="M10" s="61"/>
      <c r="N10" s="61"/>
      <c r="O10" s="61"/>
      <c r="P10" s="61"/>
      <c r="Q10" s="61"/>
      <c r="R10" s="61"/>
      <c r="S10" s="61"/>
      <c r="T10" s="61"/>
      <c r="U10" s="61"/>
    </row>
    <row r="11" spans="1:25" x14ac:dyDescent="0.2">
      <c r="A11" s="45" t="s">
        <v>92</v>
      </c>
      <c r="B11" s="41" t="str">
        <f>K6</f>
        <v>CAD_150_1</v>
      </c>
      <c r="C11" s="221">
        <f>160/1000</f>
        <v>0.16</v>
      </c>
      <c r="D11" s="57">
        <f>200/1000</f>
        <v>0.2</v>
      </c>
      <c r="F11" s="61">
        <v>0</v>
      </c>
      <c r="K11" s="60" t="s">
        <v>107</v>
      </c>
      <c r="L11" s="49"/>
      <c r="M11" s="49"/>
      <c r="N11" s="61"/>
      <c r="O11" s="61"/>
      <c r="P11" s="61"/>
      <c r="Q11" s="61"/>
      <c r="R11" s="61"/>
      <c r="S11" s="61"/>
      <c r="T11" s="61"/>
      <c r="U11" s="61"/>
    </row>
    <row r="12" spans="1:25" x14ac:dyDescent="0.2">
      <c r="A12" s="45" t="s">
        <v>59</v>
      </c>
      <c r="B12" s="41" t="str">
        <f>K7</f>
        <v>CAD_150_2</v>
      </c>
      <c r="C12" s="221">
        <f>220/1000</f>
        <v>0.22</v>
      </c>
      <c r="D12" s="58">
        <f>255/1000</f>
        <v>0.255</v>
      </c>
      <c r="F12" s="61">
        <v>1</v>
      </c>
      <c r="K12" s="60" t="s">
        <v>108</v>
      </c>
      <c r="L12" s="60"/>
      <c r="M12" s="60"/>
      <c r="N12" s="61"/>
      <c r="O12" s="61"/>
      <c r="P12" s="61"/>
      <c r="Q12" s="61"/>
      <c r="R12" s="61"/>
      <c r="S12" s="61"/>
      <c r="T12" s="61"/>
      <c r="U12" s="61"/>
    </row>
    <row r="13" spans="1:25" x14ac:dyDescent="0.2">
      <c r="A13" s="45" t="s">
        <v>79</v>
      </c>
      <c r="B13" s="41" t="str">
        <f t="shared" ref="B13:B19" si="0">K8</f>
        <v>CAD_150_2_MB</v>
      </c>
      <c r="C13" s="221">
        <v>0.26</v>
      </c>
      <c r="D13" s="223">
        <v>0.3</v>
      </c>
      <c r="K13" s="60" t="s">
        <v>109</v>
      </c>
      <c r="L13" s="60"/>
      <c r="M13" s="60"/>
      <c r="N13" s="61"/>
      <c r="O13" s="61"/>
      <c r="P13" s="61"/>
      <c r="Q13" s="61"/>
      <c r="R13" s="61"/>
      <c r="S13" s="61"/>
      <c r="T13" s="61"/>
      <c r="U13" s="61"/>
    </row>
    <row r="14" spans="1:25" x14ac:dyDescent="0.2">
      <c r="A14" s="45" t="s">
        <v>60</v>
      </c>
      <c r="B14" s="41" t="str">
        <f t="shared" si="0"/>
        <v>CAD_150_4</v>
      </c>
      <c r="C14" s="221">
        <v>0.3</v>
      </c>
      <c r="D14" s="57">
        <v>0.34</v>
      </c>
      <c r="F14" s="17" t="s">
        <v>173</v>
      </c>
      <c r="K14" s="60" t="s">
        <v>110</v>
      </c>
      <c r="L14" s="60"/>
      <c r="M14" s="60"/>
      <c r="N14" s="61"/>
      <c r="O14" s="61"/>
      <c r="P14" s="61"/>
      <c r="Q14" s="61"/>
      <c r="R14" s="61"/>
      <c r="S14" s="61"/>
      <c r="T14" s="61"/>
      <c r="U14" s="61"/>
    </row>
    <row r="15" spans="1:25" x14ac:dyDescent="0.2">
      <c r="A15" s="45" t="s">
        <v>93</v>
      </c>
      <c r="B15" s="41" t="str">
        <f t="shared" si="0"/>
        <v>CAD_150_8_4loop</v>
      </c>
      <c r="C15" s="221">
        <f>300/1000</f>
        <v>0.3</v>
      </c>
      <c r="D15" s="57">
        <f>340/1000</f>
        <v>0.34</v>
      </c>
      <c r="F15">
        <v>0.8</v>
      </c>
      <c r="K15" s="60" t="s">
        <v>111</v>
      </c>
      <c r="L15" s="61"/>
      <c r="M15" s="61"/>
      <c r="N15" s="61"/>
      <c r="O15" s="61"/>
      <c r="P15" s="61"/>
      <c r="Q15" s="61"/>
      <c r="R15" s="61"/>
      <c r="S15" s="61"/>
      <c r="T15" s="61"/>
      <c r="U15" s="61"/>
    </row>
    <row r="16" spans="1:25" x14ac:dyDescent="0.2">
      <c r="A16" s="45" t="s">
        <v>94</v>
      </c>
      <c r="B16" s="41" t="str">
        <f t="shared" si="0"/>
        <v>CAD_150_8_6loop</v>
      </c>
      <c r="C16" s="221">
        <f>400/1000</f>
        <v>0.4</v>
      </c>
      <c r="D16" s="57">
        <f>440/1000</f>
        <v>0.44</v>
      </c>
      <c r="F16">
        <v>1</v>
      </c>
      <c r="K16" s="60" t="s">
        <v>195</v>
      </c>
      <c r="L16" s="11"/>
      <c r="M16" s="11"/>
      <c r="N16" s="11"/>
      <c r="O16" s="11"/>
      <c r="P16" s="11"/>
      <c r="Q16" s="11"/>
      <c r="R16" s="11"/>
      <c r="S16" s="11"/>
      <c r="T16" s="11"/>
      <c r="U16" s="11"/>
    </row>
    <row r="17" spans="1:21" x14ac:dyDescent="0.2">
      <c r="A17" s="45" t="s">
        <v>95</v>
      </c>
      <c r="B17" s="41" t="str">
        <f t="shared" si="0"/>
        <v>CAD_150_8_8loop</v>
      </c>
      <c r="C17" s="221">
        <f>500/1000</f>
        <v>0.5</v>
      </c>
      <c r="D17" s="57">
        <f>540/1000</f>
        <v>0.54</v>
      </c>
      <c r="F17">
        <v>1.5</v>
      </c>
      <c r="K17" s="60" t="s">
        <v>198</v>
      </c>
      <c r="L17" s="11"/>
      <c r="M17" s="11"/>
      <c r="N17" s="11"/>
      <c r="O17" s="11"/>
      <c r="P17" s="11"/>
      <c r="Q17" s="11"/>
      <c r="R17" s="11"/>
      <c r="S17" s="11"/>
      <c r="T17" s="11"/>
      <c r="U17" s="11"/>
    </row>
    <row r="18" spans="1:21" x14ac:dyDescent="0.2">
      <c r="A18" s="45" t="s">
        <v>96</v>
      </c>
      <c r="B18" s="41" t="str">
        <f t="shared" si="0"/>
        <v>CAD_150_8PLUS_4loop</v>
      </c>
      <c r="C18" s="221">
        <f>300/1000</f>
        <v>0.3</v>
      </c>
      <c r="D18" s="57">
        <f>340/1000</f>
        <v>0.34</v>
      </c>
      <c r="F18">
        <v>2</v>
      </c>
      <c r="K18" s="60" t="s">
        <v>197</v>
      </c>
      <c r="L18" s="11"/>
      <c r="M18" s="11"/>
      <c r="N18" s="11"/>
      <c r="O18" s="11"/>
      <c r="P18" s="11"/>
      <c r="Q18" s="11"/>
      <c r="R18" s="11"/>
      <c r="S18" s="11"/>
      <c r="T18" s="11"/>
      <c r="U18" s="11"/>
    </row>
    <row r="19" spans="1:21" x14ac:dyDescent="0.2">
      <c r="A19" s="45" t="s">
        <v>97</v>
      </c>
      <c r="B19" s="41" t="str">
        <f t="shared" si="0"/>
        <v>CAD_150_8PLUS_6loop</v>
      </c>
      <c r="C19" s="221">
        <f>400/1000</f>
        <v>0.4</v>
      </c>
      <c r="D19" s="57">
        <f>440/1000</f>
        <v>0.44</v>
      </c>
      <c r="F19">
        <v>2.5</v>
      </c>
      <c r="K19" s="60" t="s">
        <v>196</v>
      </c>
      <c r="L19" s="11"/>
      <c r="M19" s="11"/>
    </row>
    <row r="20" spans="1:21" x14ac:dyDescent="0.2">
      <c r="A20" s="45" t="s">
        <v>98</v>
      </c>
      <c r="B20" s="41" t="str">
        <f>K15</f>
        <v>CAD_150_8PLUS_8loop</v>
      </c>
      <c r="C20" s="221">
        <f>500/1000</f>
        <v>0.5</v>
      </c>
      <c r="D20" s="57">
        <f>540/1000</f>
        <v>0.54</v>
      </c>
      <c r="K20" s="44"/>
    </row>
    <row r="21" spans="1:21" x14ac:dyDescent="0.2">
      <c r="A21" s="220" t="s">
        <v>191</v>
      </c>
      <c r="B21" s="41" t="str">
        <f t="shared" ref="B21:B24" si="1">K16</f>
        <v>CAD_150_4_P</v>
      </c>
      <c r="C21" s="222">
        <f>C14+0.035</f>
        <v>0.33499999999999996</v>
      </c>
      <c r="D21" s="224">
        <f>D14+0.035</f>
        <v>0.375</v>
      </c>
      <c r="K21" s="35" t="s">
        <v>131</v>
      </c>
      <c r="L21" s="12"/>
      <c r="M21" s="12"/>
    </row>
    <row r="22" spans="1:21" x14ac:dyDescent="0.2">
      <c r="A22" s="220" t="s">
        <v>192</v>
      </c>
      <c r="B22" s="41" t="str">
        <f t="shared" si="1"/>
        <v>CAD_150_8PLUS_P_4loop</v>
      </c>
      <c r="C22" s="222">
        <f>C18+0.035</f>
        <v>0.33499999999999996</v>
      </c>
      <c r="D22" s="224">
        <f>D18+0.035</f>
        <v>0.375</v>
      </c>
      <c r="K22" s="41"/>
      <c r="L22" s="41"/>
      <c r="M22" s="41"/>
    </row>
    <row r="23" spans="1:21" ht="13.5" thickBot="1" x14ac:dyDescent="0.25">
      <c r="A23" s="220" t="s">
        <v>193</v>
      </c>
      <c r="B23" s="41" t="str">
        <f t="shared" si="1"/>
        <v>CAD_150_8PLUS_P_6loop</v>
      </c>
      <c r="C23" s="222">
        <f>C19+0.035</f>
        <v>0.43500000000000005</v>
      </c>
      <c r="D23" s="224">
        <f t="shared" ref="D23" si="2">D19+0.035</f>
        <v>0.47499999999999998</v>
      </c>
      <c r="F23" s="55" t="s">
        <v>174</v>
      </c>
      <c r="K23" s="60" t="s">
        <v>101</v>
      </c>
      <c r="L23" s="60"/>
      <c r="M23" s="60"/>
      <c r="N23" s="60"/>
    </row>
    <row r="24" spans="1:21" x14ac:dyDescent="0.2">
      <c r="A24" s="225" t="s">
        <v>194</v>
      </c>
      <c r="B24" s="226" t="str">
        <f t="shared" si="1"/>
        <v>CAD_150_8PLUS_P_8loop</v>
      </c>
      <c r="C24" s="227">
        <f t="shared" ref="C24:D24" si="3">C20+0.035</f>
        <v>0.53500000000000003</v>
      </c>
      <c r="D24" s="228">
        <f t="shared" si="3"/>
        <v>0.57500000000000007</v>
      </c>
      <c r="F24" s="194">
        <v>65</v>
      </c>
      <c r="G24" s="195" t="s">
        <v>178</v>
      </c>
      <c r="H24" s="185"/>
      <c r="I24" s="186"/>
      <c r="K24" s="60" t="s">
        <v>102</v>
      </c>
      <c r="L24" s="60" t="s">
        <v>52</v>
      </c>
      <c r="M24" s="60"/>
      <c r="N24" s="60"/>
    </row>
    <row r="25" spans="1:21" x14ac:dyDescent="0.2">
      <c r="A25" s="17"/>
      <c r="B25" s="17"/>
      <c r="F25" s="196">
        <v>40</v>
      </c>
      <c r="G25" s="60" t="s">
        <v>177</v>
      </c>
      <c r="H25" s="41"/>
      <c r="I25" s="187"/>
      <c r="K25" s="60" t="s">
        <v>103</v>
      </c>
      <c r="L25" s="60" t="s">
        <v>52</v>
      </c>
      <c r="M25" s="61"/>
      <c r="N25" s="61"/>
    </row>
    <row r="26" spans="1:21" x14ac:dyDescent="0.2">
      <c r="C26" s="17"/>
      <c r="F26" s="196">
        <v>28</v>
      </c>
      <c r="G26" s="60" t="s">
        <v>176</v>
      </c>
      <c r="H26" s="41"/>
      <c r="I26" s="187"/>
      <c r="K26" s="60" t="s">
        <v>104</v>
      </c>
      <c r="L26" s="60" t="s">
        <v>52</v>
      </c>
      <c r="M26" s="61"/>
      <c r="N26" s="61"/>
    </row>
    <row r="27" spans="1:21" x14ac:dyDescent="0.2">
      <c r="A27" s="17"/>
      <c r="B27" s="17"/>
      <c r="F27" s="196">
        <v>17</v>
      </c>
      <c r="G27" s="60" t="s">
        <v>175</v>
      </c>
      <c r="H27" s="41"/>
      <c r="I27" s="187"/>
      <c r="K27" s="60" t="s">
        <v>105</v>
      </c>
      <c r="L27" s="60" t="s">
        <v>52</v>
      </c>
      <c r="M27" s="61"/>
      <c r="N27" s="61"/>
    </row>
    <row r="28" spans="1:21" x14ac:dyDescent="0.2">
      <c r="A28" s="14"/>
      <c r="B28" s="14"/>
      <c r="F28" s="188"/>
      <c r="G28" s="41"/>
      <c r="H28" s="41"/>
      <c r="I28" s="187"/>
      <c r="K28" s="60" t="s">
        <v>106</v>
      </c>
      <c r="L28" s="60" t="s">
        <v>52</v>
      </c>
      <c r="M28" s="60" t="s">
        <v>53</v>
      </c>
      <c r="N28" s="61"/>
    </row>
    <row r="29" spans="1:21" x14ac:dyDescent="0.2">
      <c r="A29" s="14"/>
      <c r="B29" s="14"/>
      <c r="F29" s="197">
        <f>'System Calculation'!A15</f>
        <v>0</v>
      </c>
      <c r="G29" s="191" t="e">
        <f>VLOOKUP(F29,Datos!B11:D20,2,0)</f>
        <v>#N/A</v>
      </c>
      <c r="H29" s="191" t="e">
        <f>VLOOKUP(F29,Datos!B11:D20,3,0)</f>
        <v>#N/A</v>
      </c>
      <c r="I29" s="187"/>
      <c r="K29" s="60" t="s">
        <v>107</v>
      </c>
      <c r="L29" s="60" t="s">
        <v>52</v>
      </c>
      <c r="M29" s="60" t="s">
        <v>53</v>
      </c>
      <c r="N29" s="61"/>
    </row>
    <row r="30" spans="1:21" x14ac:dyDescent="0.2">
      <c r="F30" s="197" t="str">
        <f>'System Calculation'!A16</f>
        <v>BTD-1207</v>
      </c>
      <c r="G30" s="183">
        <f>VLOOKUP(F30,Datos!F4:H6,2,0)</f>
        <v>12</v>
      </c>
      <c r="H30" s="192">
        <f>VLOOKUP(F30,Datos!F4:H6,3,0)</f>
        <v>7.2</v>
      </c>
      <c r="I30" s="187"/>
      <c r="K30" s="60" t="s">
        <v>108</v>
      </c>
      <c r="L30" s="60" t="s">
        <v>52</v>
      </c>
      <c r="M30" s="60" t="s">
        <v>53</v>
      </c>
      <c r="N30" s="61"/>
    </row>
    <row r="31" spans="1:21" x14ac:dyDescent="0.2">
      <c r="F31" s="188"/>
      <c r="G31" s="41"/>
      <c r="H31" s="41"/>
      <c r="I31" s="187"/>
      <c r="K31" s="60" t="s">
        <v>109</v>
      </c>
      <c r="L31" s="60" t="s">
        <v>52</v>
      </c>
      <c r="M31" s="60" t="s">
        <v>53</v>
      </c>
      <c r="N31" s="60" t="s">
        <v>54</v>
      </c>
    </row>
    <row r="32" spans="1:21" x14ac:dyDescent="0.2">
      <c r="F32" s="25" t="s">
        <v>130</v>
      </c>
      <c r="G32" s="41"/>
      <c r="H32" s="41" t="s">
        <v>179</v>
      </c>
      <c r="I32" s="187"/>
      <c r="K32" s="60" t="s">
        <v>110</v>
      </c>
      <c r="L32" s="60" t="s">
        <v>52</v>
      </c>
      <c r="M32" s="60" t="s">
        <v>53</v>
      </c>
      <c r="N32" s="60" t="s">
        <v>54</v>
      </c>
    </row>
    <row r="33" spans="1:21" ht="13.5" thickBot="1" x14ac:dyDescent="0.25">
      <c r="F33" s="198" t="e">
        <f>'System Calculation'!E22</f>
        <v>#N/A</v>
      </c>
      <c r="G33" s="41"/>
      <c r="H33" s="184" t="e">
        <f>F33-H30</f>
        <v>#N/A</v>
      </c>
      <c r="I33" s="187" t="e">
        <f>MATCH(H33,F24:F27,-1)</f>
        <v>#N/A</v>
      </c>
      <c r="K33" s="60" t="s">
        <v>111</v>
      </c>
      <c r="L33" s="60" t="s">
        <v>52</v>
      </c>
      <c r="M33" s="60" t="s">
        <v>53</v>
      </c>
      <c r="N33" s="60" t="s">
        <v>54</v>
      </c>
    </row>
    <row r="34" spans="1:21" ht="13.5" thickBot="1" x14ac:dyDescent="0.25">
      <c r="F34" s="189"/>
      <c r="G34" s="190"/>
      <c r="H34" s="193" t="s">
        <v>180</v>
      </c>
      <c r="I34" s="10" t="e">
        <f>INDEX(G24:G27,I33,1)</f>
        <v>#N/A</v>
      </c>
      <c r="K34" s="60" t="s">
        <v>195</v>
      </c>
      <c r="L34" s="77" t="s">
        <v>52</v>
      </c>
    </row>
    <row r="35" spans="1:21" x14ac:dyDescent="0.2">
      <c r="F35" s="17"/>
      <c r="G35" s="17"/>
      <c r="H35" s="17"/>
      <c r="I35" s="17"/>
      <c r="K35" s="60" t="s">
        <v>198</v>
      </c>
      <c r="L35" s="77" t="s">
        <v>52</v>
      </c>
      <c r="M35" t="s">
        <v>53</v>
      </c>
      <c r="N35" t="s">
        <v>54</v>
      </c>
    </row>
    <row r="36" spans="1:21" x14ac:dyDescent="0.2">
      <c r="K36" s="60" t="s">
        <v>197</v>
      </c>
      <c r="L36" s="77" t="s">
        <v>52</v>
      </c>
      <c r="M36" t="s">
        <v>53</v>
      </c>
      <c r="N36" t="s">
        <v>54</v>
      </c>
    </row>
    <row r="37" spans="1:21" x14ac:dyDescent="0.2">
      <c r="K37" s="60" t="s">
        <v>196</v>
      </c>
      <c r="L37" s="77" t="s">
        <v>52</v>
      </c>
      <c r="M37" t="s">
        <v>53</v>
      </c>
      <c r="N37" t="s">
        <v>54</v>
      </c>
    </row>
    <row r="40" spans="1:21" s="182" customFormat="1" x14ac:dyDescent="0.2">
      <c r="A40" s="59" t="s">
        <v>99</v>
      </c>
      <c r="K40"/>
      <c r="L40"/>
      <c r="M40"/>
      <c r="N40"/>
      <c r="O40"/>
      <c r="P40"/>
      <c r="Q40"/>
      <c r="R40"/>
      <c r="S40"/>
      <c r="T40"/>
      <c r="U40"/>
    </row>
    <row r="43" spans="1:21" x14ac:dyDescent="0.2">
      <c r="K43" s="182"/>
      <c r="L43" s="182"/>
      <c r="M43" s="182"/>
      <c r="N43" s="182"/>
      <c r="O43" s="182"/>
      <c r="P43" s="182"/>
      <c r="Q43" s="182"/>
      <c r="R43" s="182"/>
      <c r="S43" s="182"/>
      <c r="T43" s="182"/>
      <c r="U43" s="182"/>
    </row>
  </sheetData>
  <sheetProtection selectLockedCells="1" selectUnlockedCells="1"/>
  <phoneticPr fontId="11" type="noConversion"/>
  <dataValidations disablePrompts="1" count="3">
    <dataValidation type="list" allowBlank="1" showInputMessage="1" showErrorMessage="1" sqref="M13" xr:uid="{030A2AAA-4593-4CBE-B4A0-73AD269FBA3E}">
      <formula1>Baterias1</formula1>
    </dataValidation>
    <dataValidation type="list" allowBlank="1" showInputMessage="1" showErrorMessage="1" prompt="If control panel is changed, select the batteries according to new panel" sqref="F30" xr:uid="{29D11690-E581-45EA-817B-CE0AF2A02F80}">
      <formula1>INDIRECT($A$8)</formula1>
    </dataValidation>
    <dataValidation type="list" allowBlank="1" showInputMessage="1" showErrorMessage="1" prompt="If control panel is changed, select the batterie according to new panel" sqref="F29" xr:uid="{410E2CA0-3DD4-40E2-937B-30B47A0F962F}">
      <formula1>Centrales</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1BC85-2AEA-41AA-B846-EB139684BDD8}">
  <sheetPr codeName="Hoja3">
    <pageSetUpPr fitToPage="1"/>
  </sheetPr>
  <dimension ref="A1:N90"/>
  <sheetViews>
    <sheetView zoomScale="120" zoomScaleNormal="120" workbookViewId="0">
      <pane ySplit="7" topLeftCell="A35" activePane="bottomLeft" state="frozen"/>
      <selection pane="bottomLeft" activeCell="B45" sqref="B45"/>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63</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SUM(G17:G55)</f>
        <v>0</v>
      </c>
      <c r="H56" s="72">
        <f t="shared" ref="H56:L56" si="10">SUM(H17:H55)</f>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Vxb4mofZcjXUUSUADQlg0vr6YBXe0okmxJnA3HPhH23osyX4iYy9oVfUObWro7MCaNzmcg8wNPYYlN2CmKViw==" saltValue="p5M+RqVbLSOgNs6SAmZ1IQ==" spinCount="100000" sheet="1" selectLockedCells="1" sort="0" autoFilter="0" pivotTables="0"/>
  <mergeCells count="4">
    <mergeCell ref="A90:L90"/>
    <mergeCell ref="J10:K10"/>
    <mergeCell ref="J11:K11"/>
    <mergeCell ref="J9:K9"/>
  </mergeCells>
  <conditionalFormatting sqref="I41 N37:N40">
    <cfRule type="expression" dxfId="199" priority="35" stopIfTrue="1">
      <formula>$B$36&gt;2</formula>
    </cfRule>
    <cfRule type="expression" dxfId="198" priority="36" stopIfTrue="1">
      <formula>$B$36&lt;3</formula>
    </cfRule>
  </conditionalFormatting>
  <conditionalFormatting sqref="N33:N34">
    <cfRule type="expression" dxfId="197" priority="31" stopIfTrue="1">
      <formula>$B$35&gt;4</formula>
    </cfRule>
    <cfRule type="expression" dxfId="196" priority="32" stopIfTrue="1">
      <formula>$B$35&lt;5</formula>
    </cfRule>
  </conditionalFormatting>
  <conditionalFormatting sqref="N31">
    <cfRule type="expression" dxfId="195" priority="27" stopIfTrue="1">
      <formula>$B$36&gt;2</formula>
    </cfRule>
    <cfRule type="expression" dxfId="194" priority="28" stopIfTrue="1">
      <formula>$B$36&lt;3</formula>
    </cfRule>
  </conditionalFormatting>
  <conditionalFormatting sqref="N32">
    <cfRule type="expression" dxfId="193" priority="25" stopIfTrue="1">
      <formula>$B$36&gt;2</formula>
    </cfRule>
    <cfRule type="expression" dxfId="192" priority="26" stopIfTrue="1">
      <formula>$B$36&lt;3</formula>
    </cfRule>
  </conditionalFormatting>
  <conditionalFormatting sqref="N36">
    <cfRule type="expression" dxfId="191" priority="19" stopIfTrue="1">
      <formula>$B$36&gt;2</formula>
    </cfRule>
    <cfRule type="expression" dxfId="190" priority="20" stopIfTrue="1">
      <formula>$B$36&lt;3</formula>
    </cfRule>
  </conditionalFormatting>
  <conditionalFormatting sqref="N35">
    <cfRule type="expression" dxfId="189" priority="21" stopIfTrue="1">
      <formula>$B$36&gt;2</formula>
    </cfRule>
    <cfRule type="expression" dxfId="188" priority="22" stopIfTrue="1">
      <formula>$B$36&lt;3</formula>
    </cfRule>
  </conditionalFormatting>
  <conditionalFormatting sqref="J17:J55">
    <cfRule type="cellIs" dxfId="187" priority="18" operator="equal">
      <formula>0</formula>
    </cfRule>
  </conditionalFormatting>
  <conditionalFormatting sqref="L11">
    <cfRule type="cellIs" dxfId="186" priority="14" stopIfTrue="1" operator="equal">
      <formula>"FAIL"</formula>
    </cfRule>
  </conditionalFormatting>
  <conditionalFormatting sqref="D86">
    <cfRule type="cellIs" dxfId="185" priority="17" stopIfTrue="1" operator="equal">
      <formula>"FAIL"</formula>
    </cfRule>
  </conditionalFormatting>
  <conditionalFormatting sqref="D87">
    <cfRule type="cellIs" dxfId="184" priority="16" stopIfTrue="1" operator="equal">
      <formula>"FAIL"</formula>
    </cfRule>
  </conditionalFormatting>
  <conditionalFormatting sqref="L10">
    <cfRule type="cellIs" dxfId="183" priority="15" stopIfTrue="1" operator="equal">
      <formula>"FAIL"</formula>
    </cfRule>
  </conditionalFormatting>
  <conditionalFormatting sqref="B69:J70">
    <cfRule type="containsErrors" dxfId="182" priority="13">
      <formula>ISERROR(B69)</formula>
    </cfRule>
  </conditionalFormatting>
  <conditionalFormatting sqref="B75:J76">
    <cfRule type="containsErrors" dxfId="181" priority="12">
      <formula>ISERROR(B75)</formula>
    </cfRule>
  </conditionalFormatting>
  <conditionalFormatting sqref="B71">
    <cfRule type="containsErrors" dxfId="180" priority="40">
      <formula>ISERROR(B71)</formula>
    </cfRule>
  </conditionalFormatting>
  <conditionalFormatting sqref="D71:J71">
    <cfRule type="containsErrors" dxfId="179" priority="5">
      <formula>ISERROR(D71)</formula>
    </cfRule>
  </conditionalFormatting>
  <conditionalFormatting sqref="B77">
    <cfRule type="containsErrors" dxfId="178" priority="4">
      <formula>ISERROR(B77)</formula>
    </cfRule>
  </conditionalFormatting>
  <conditionalFormatting sqref="D77:J77">
    <cfRule type="containsErrors" dxfId="177" priority="3">
      <formula>ISERROR(D77)</formula>
    </cfRule>
  </conditionalFormatting>
  <conditionalFormatting sqref="N48">
    <cfRule type="expression" dxfId="176" priority="1" stopIfTrue="1">
      <formula>$B$35&gt;4</formula>
    </cfRule>
    <cfRule type="expression" dxfId="175"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ignoredErrors>
    <ignoredError sqref="E25:E43 E44:E55"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5D55514-F2E8-420D-BDEE-D22B74E77BF5}">
          <x14:formula1>
            <xm:f>Datos!$F$15:$F$19</xm:f>
          </x14:formula1>
          <xm:sqref>B10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D6EA0-F211-4E3B-8582-C4E6F326A4A1}">
  <sheetPr codeName="Hoja4">
    <pageSetUpPr fitToPage="1"/>
  </sheetPr>
  <dimension ref="A1:N90"/>
  <sheetViews>
    <sheetView zoomScale="120" zoomScaleNormal="120" workbookViewId="0">
      <pane ySplit="7" topLeftCell="A10" activePane="bottomLeft" state="frozen"/>
      <selection activeCell="A16" sqref="A16"/>
      <selection pane="bottomLeft" activeCell="B10" sqref="B10"/>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181</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 t="shared" ref="G56:L56" si="10">SUM(G17:G55)</f>
        <v>0</v>
      </c>
      <c r="H56" s="72">
        <f t="shared" si="10"/>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c r="L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20yO/HrggovvG5AueiZehmE5mz8+f1qeG9KGQevRfiJIir2HIzmxLyOvni7tbCRppcTVyFAsQJJpYei94/myWQ==" saltValue="rmpDMvpMGbJYq/sHitcDHw==" spinCount="100000" sheet="1" selectLockedCells="1" sort="0" autoFilter="0" pivotTables="0"/>
  <mergeCells count="4">
    <mergeCell ref="J9:K9"/>
    <mergeCell ref="J10:K10"/>
    <mergeCell ref="J11:K11"/>
    <mergeCell ref="A90:L90"/>
  </mergeCells>
  <conditionalFormatting sqref="I41 N37:N40">
    <cfRule type="expression" dxfId="174" priority="23" stopIfTrue="1">
      <formula>$B$36&gt;2</formula>
    </cfRule>
    <cfRule type="expression" dxfId="173" priority="24" stopIfTrue="1">
      <formula>$B$36&lt;3</formula>
    </cfRule>
  </conditionalFormatting>
  <conditionalFormatting sqref="N33:N34">
    <cfRule type="expression" dxfId="172" priority="21" stopIfTrue="1">
      <formula>$B$35&gt;4</formula>
    </cfRule>
    <cfRule type="expression" dxfId="171" priority="22" stopIfTrue="1">
      <formula>$B$35&lt;5</formula>
    </cfRule>
  </conditionalFormatting>
  <conditionalFormatting sqref="N31">
    <cfRule type="expression" dxfId="170" priority="19" stopIfTrue="1">
      <formula>$B$36&gt;2</formula>
    </cfRule>
    <cfRule type="expression" dxfId="169" priority="20" stopIfTrue="1">
      <formula>$B$36&lt;3</formula>
    </cfRule>
  </conditionalFormatting>
  <conditionalFormatting sqref="N32">
    <cfRule type="expression" dxfId="168" priority="17" stopIfTrue="1">
      <formula>$B$36&gt;2</formula>
    </cfRule>
    <cfRule type="expression" dxfId="167" priority="18" stopIfTrue="1">
      <formula>$B$36&lt;3</formula>
    </cfRule>
  </conditionalFormatting>
  <conditionalFormatting sqref="N36">
    <cfRule type="expression" dxfId="166" priority="13" stopIfTrue="1">
      <formula>$B$36&gt;2</formula>
    </cfRule>
    <cfRule type="expression" dxfId="165" priority="14" stopIfTrue="1">
      <formula>$B$36&lt;3</formula>
    </cfRule>
  </conditionalFormatting>
  <conditionalFormatting sqref="N35">
    <cfRule type="expression" dxfId="164" priority="15" stopIfTrue="1">
      <formula>$B$36&gt;2</formula>
    </cfRule>
    <cfRule type="expression" dxfId="163" priority="16" stopIfTrue="1">
      <formula>$B$36&lt;3</formula>
    </cfRule>
  </conditionalFormatting>
  <conditionalFormatting sqref="J17:J55">
    <cfRule type="cellIs" dxfId="162" priority="12" operator="equal">
      <formula>0</formula>
    </cfRule>
  </conditionalFormatting>
  <conditionalFormatting sqref="L11">
    <cfRule type="cellIs" dxfId="161" priority="8" stopIfTrue="1" operator="equal">
      <formula>"FAIL"</formula>
    </cfRule>
  </conditionalFormatting>
  <conditionalFormatting sqref="D86">
    <cfRule type="cellIs" dxfId="160" priority="11" stopIfTrue="1" operator="equal">
      <formula>"FAIL"</formula>
    </cfRule>
  </conditionalFormatting>
  <conditionalFormatting sqref="D87">
    <cfRule type="cellIs" dxfId="159" priority="10" stopIfTrue="1" operator="equal">
      <formula>"FAIL"</formula>
    </cfRule>
  </conditionalFormatting>
  <conditionalFormatting sqref="L10">
    <cfRule type="cellIs" dxfId="158" priority="9" stopIfTrue="1" operator="equal">
      <formula>"FAIL"</formula>
    </cfRule>
  </conditionalFormatting>
  <conditionalFormatting sqref="B69:J70">
    <cfRule type="containsErrors" dxfId="157" priority="7">
      <formula>ISERROR(B69)</formula>
    </cfRule>
  </conditionalFormatting>
  <conditionalFormatting sqref="B75:J76">
    <cfRule type="containsErrors" dxfId="156" priority="6">
      <formula>ISERROR(B75)</formula>
    </cfRule>
  </conditionalFormatting>
  <conditionalFormatting sqref="B71">
    <cfRule type="containsErrors" dxfId="155" priority="25">
      <formula>ISERROR(B71)</formula>
    </cfRule>
  </conditionalFormatting>
  <conditionalFormatting sqref="D71:J71">
    <cfRule type="containsErrors" dxfId="154" priority="5">
      <formula>ISERROR(D71)</formula>
    </cfRule>
  </conditionalFormatting>
  <conditionalFormatting sqref="B77">
    <cfRule type="containsErrors" dxfId="153" priority="4">
      <formula>ISERROR(B77)</formula>
    </cfRule>
  </conditionalFormatting>
  <conditionalFormatting sqref="D77:J77">
    <cfRule type="containsErrors" dxfId="152" priority="3">
      <formula>ISERROR(D77)</formula>
    </cfRule>
  </conditionalFormatting>
  <conditionalFormatting sqref="N48">
    <cfRule type="expression" dxfId="151" priority="1" stopIfTrue="1">
      <formula>$B$35&gt;4</formula>
    </cfRule>
    <cfRule type="expression" dxfId="150"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9EA3DD-90CC-458E-BE28-9BD017A49D2E}">
          <x14:formula1>
            <xm:f>Datos!$F$15:$F$19</xm:f>
          </x14:formula1>
          <xm:sqref>B10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CCEE6-5683-4CE8-BF41-1FADE356A4BD}">
  <sheetPr codeName="Hoja5">
    <pageSetUpPr fitToPage="1"/>
  </sheetPr>
  <dimension ref="A1:N90"/>
  <sheetViews>
    <sheetView zoomScale="120" zoomScaleNormal="120" workbookViewId="0">
      <pane ySplit="7" topLeftCell="A10" activePane="bottomLeft" state="frozen"/>
      <selection activeCell="A16" sqref="A16"/>
      <selection pane="bottomLeft" activeCell="B10" sqref="B10"/>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182</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 t="shared" ref="G56:L56" si="10">SUM(G17:G55)</f>
        <v>0</v>
      </c>
      <c r="H56" s="72">
        <f t="shared" si="10"/>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c r="L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Iji/WcjYWJhr/Ss1Npads7zWgAZLoX+u4Io4z1MEte4XdVq6M9jC0rxbWRoZ2fryHX5pi9/jkqM0cJDF6AOVZw==" saltValue="b20MtJ5g+yq85wdlqCq0Kw==" spinCount="100000" sheet="1" selectLockedCells="1" sort="0" autoFilter="0" pivotTables="0"/>
  <mergeCells count="4">
    <mergeCell ref="J9:K9"/>
    <mergeCell ref="J10:K10"/>
    <mergeCell ref="J11:K11"/>
    <mergeCell ref="A90:L90"/>
  </mergeCells>
  <conditionalFormatting sqref="I41 N37:N40">
    <cfRule type="expression" dxfId="149" priority="23" stopIfTrue="1">
      <formula>$B$36&gt;2</formula>
    </cfRule>
    <cfRule type="expression" dxfId="148" priority="24" stopIfTrue="1">
      <formula>$B$36&lt;3</formula>
    </cfRule>
  </conditionalFormatting>
  <conditionalFormatting sqref="N33:N34">
    <cfRule type="expression" dxfId="147" priority="21" stopIfTrue="1">
      <formula>$B$35&gt;4</formula>
    </cfRule>
    <cfRule type="expression" dxfId="146" priority="22" stopIfTrue="1">
      <formula>$B$35&lt;5</formula>
    </cfRule>
  </conditionalFormatting>
  <conditionalFormatting sqref="N31">
    <cfRule type="expression" dxfId="145" priority="19" stopIfTrue="1">
      <formula>$B$36&gt;2</formula>
    </cfRule>
    <cfRule type="expression" dxfId="144" priority="20" stopIfTrue="1">
      <formula>$B$36&lt;3</formula>
    </cfRule>
  </conditionalFormatting>
  <conditionalFormatting sqref="N32">
    <cfRule type="expression" dxfId="143" priority="17" stopIfTrue="1">
      <formula>$B$36&gt;2</formula>
    </cfRule>
    <cfRule type="expression" dxfId="142" priority="18" stopIfTrue="1">
      <formula>$B$36&lt;3</formula>
    </cfRule>
  </conditionalFormatting>
  <conditionalFormatting sqref="N36">
    <cfRule type="expression" dxfId="141" priority="13" stopIfTrue="1">
      <formula>$B$36&gt;2</formula>
    </cfRule>
    <cfRule type="expression" dxfId="140" priority="14" stopIfTrue="1">
      <formula>$B$36&lt;3</formula>
    </cfRule>
  </conditionalFormatting>
  <conditionalFormatting sqref="N35">
    <cfRule type="expression" dxfId="139" priority="15" stopIfTrue="1">
      <formula>$B$36&gt;2</formula>
    </cfRule>
    <cfRule type="expression" dxfId="138" priority="16" stopIfTrue="1">
      <formula>$B$36&lt;3</formula>
    </cfRule>
  </conditionalFormatting>
  <conditionalFormatting sqref="J17:J55">
    <cfRule type="cellIs" dxfId="137" priority="12" operator="equal">
      <formula>0</formula>
    </cfRule>
  </conditionalFormatting>
  <conditionalFormatting sqref="L11">
    <cfRule type="cellIs" dxfId="136" priority="8" stopIfTrue="1" operator="equal">
      <formula>"FAIL"</formula>
    </cfRule>
  </conditionalFormatting>
  <conditionalFormatting sqref="D86">
    <cfRule type="cellIs" dxfId="135" priority="11" stopIfTrue="1" operator="equal">
      <formula>"FAIL"</formula>
    </cfRule>
  </conditionalFormatting>
  <conditionalFormatting sqref="D87">
    <cfRule type="cellIs" dxfId="134" priority="10" stopIfTrue="1" operator="equal">
      <formula>"FAIL"</formula>
    </cfRule>
  </conditionalFormatting>
  <conditionalFormatting sqref="L10">
    <cfRule type="cellIs" dxfId="133" priority="9" stopIfTrue="1" operator="equal">
      <formula>"FAIL"</formula>
    </cfRule>
  </conditionalFormatting>
  <conditionalFormatting sqref="B69:J70">
    <cfRule type="containsErrors" dxfId="132" priority="7">
      <formula>ISERROR(B69)</formula>
    </cfRule>
  </conditionalFormatting>
  <conditionalFormatting sqref="B75:J76">
    <cfRule type="containsErrors" dxfId="131" priority="6">
      <formula>ISERROR(B75)</formula>
    </cfRule>
  </conditionalFormatting>
  <conditionalFormatting sqref="B71">
    <cfRule type="containsErrors" dxfId="130" priority="25">
      <formula>ISERROR(B71)</formula>
    </cfRule>
  </conditionalFormatting>
  <conditionalFormatting sqref="D71:J71">
    <cfRule type="containsErrors" dxfId="129" priority="5">
      <formula>ISERROR(D71)</formula>
    </cfRule>
  </conditionalFormatting>
  <conditionalFormatting sqref="B77">
    <cfRule type="containsErrors" dxfId="128" priority="4">
      <formula>ISERROR(B77)</formula>
    </cfRule>
  </conditionalFormatting>
  <conditionalFormatting sqref="D77:J77">
    <cfRule type="containsErrors" dxfId="127" priority="3">
      <formula>ISERROR(D77)</formula>
    </cfRule>
  </conditionalFormatting>
  <conditionalFormatting sqref="N48">
    <cfRule type="expression" dxfId="126" priority="1" stopIfTrue="1">
      <formula>$B$35&gt;4</formula>
    </cfRule>
    <cfRule type="expression" dxfId="125"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B18A0AE-AF29-4994-8DB5-BB8671546CE0}">
          <x14:formula1>
            <xm:f>Datos!$F$15:$F$19</xm:f>
          </x14:formula1>
          <xm:sqref>B10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4F2B6-772A-4A31-8659-9194F93093F8}">
  <sheetPr codeName="Hoja6">
    <pageSetUpPr fitToPage="1"/>
  </sheetPr>
  <dimension ref="A1:N90"/>
  <sheetViews>
    <sheetView zoomScale="120" zoomScaleNormal="120" workbookViewId="0">
      <pane ySplit="7" topLeftCell="A10" activePane="bottomLeft" state="frozen"/>
      <selection activeCell="A16" sqref="A16"/>
      <selection pane="bottomLeft" activeCell="B10" sqref="B10"/>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183</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 t="shared" ref="G56:L56" si="10">SUM(G17:G55)</f>
        <v>0</v>
      </c>
      <c r="H56" s="72">
        <f t="shared" si="10"/>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c r="L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CfToRGwehH+bYFTf0JcXcXT9iKZFjGJorl/B+escklCX8O1x4rTNPsFpYM7Q05BmmPHGVYKO0wmGhm7PGNepBg==" saltValue="JZvLc8pFngTJTny1uVoOCg==" spinCount="100000" sheet="1" selectLockedCells="1" sort="0" autoFilter="0" pivotTables="0"/>
  <mergeCells count="4">
    <mergeCell ref="J9:K9"/>
    <mergeCell ref="J10:K10"/>
    <mergeCell ref="J11:K11"/>
    <mergeCell ref="A90:L90"/>
  </mergeCells>
  <conditionalFormatting sqref="I41 N37:N40">
    <cfRule type="expression" dxfId="124" priority="23" stopIfTrue="1">
      <formula>$B$36&gt;2</formula>
    </cfRule>
    <cfRule type="expression" dxfId="123" priority="24" stopIfTrue="1">
      <formula>$B$36&lt;3</formula>
    </cfRule>
  </conditionalFormatting>
  <conditionalFormatting sqref="N33:N34">
    <cfRule type="expression" dxfId="122" priority="21" stopIfTrue="1">
      <formula>$B$35&gt;4</formula>
    </cfRule>
    <cfRule type="expression" dxfId="121" priority="22" stopIfTrue="1">
      <formula>$B$35&lt;5</formula>
    </cfRule>
  </conditionalFormatting>
  <conditionalFormatting sqref="N31">
    <cfRule type="expression" dxfId="120" priority="19" stopIfTrue="1">
      <formula>$B$36&gt;2</formula>
    </cfRule>
    <cfRule type="expression" dxfId="119" priority="20" stopIfTrue="1">
      <formula>$B$36&lt;3</formula>
    </cfRule>
  </conditionalFormatting>
  <conditionalFormatting sqref="N32">
    <cfRule type="expression" dxfId="118" priority="17" stopIfTrue="1">
      <formula>$B$36&gt;2</formula>
    </cfRule>
    <cfRule type="expression" dxfId="117" priority="18" stopIfTrue="1">
      <formula>$B$36&lt;3</formula>
    </cfRule>
  </conditionalFormatting>
  <conditionalFormatting sqref="N36">
    <cfRule type="expression" dxfId="116" priority="13" stopIfTrue="1">
      <formula>$B$36&gt;2</formula>
    </cfRule>
    <cfRule type="expression" dxfId="115" priority="14" stopIfTrue="1">
      <formula>$B$36&lt;3</formula>
    </cfRule>
  </conditionalFormatting>
  <conditionalFormatting sqref="N35">
    <cfRule type="expression" dxfId="114" priority="15" stopIfTrue="1">
      <formula>$B$36&gt;2</formula>
    </cfRule>
    <cfRule type="expression" dxfId="113" priority="16" stopIfTrue="1">
      <formula>$B$36&lt;3</formula>
    </cfRule>
  </conditionalFormatting>
  <conditionalFormatting sqref="J17:J55">
    <cfRule type="cellIs" dxfId="112" priority="12" operator="equal">
      <formula>0</formula>
    </cfRule>
  </conditionalFormatting>
  <conditionalFormatting sqref="L11">
    <cfRule type="cellIs" dxfId="111" priority="8" stopIfTrue="1" operator="equal">
      <formula>"FAIL"</formula>
    </cfRule>
  </conditionalFormatting>
  <conditionalFormatting sqref="D86">
    <cfRule type="cellIs" dxfId="110" priority="11" stopIfTrue="1" operator="equal">
      <formula>"FAIL"</formula>
    </cfRule>
  </conditionalFormatting>
  <conditionalFormatting sqref="D87">
    <cfRule type="cellIs" dxfId="109" priority="10" stopIfTrue="1" operator="equal">
      <formula>"FAIL"</formula>
    </cfRule>
  </conditionalFormatting>
  <conditionalFormatting sqref="L10">
    <cfRule type="cellIs" dxfId="108" priority="9" stopIfTrue="1" operator="equal">
      <formula>"FAIL"</formula>
    </cfRule>
  </conditionalFormatting>
  <conditionalFormatting sqref="B69:J70">
    <cfRule type="containsErrors" dxfId="107" priority="7">
      <formula>ISERROR(B69)</formula>
    </cfRule>
  </conditionalFormatting>
  <conditionalFormatting sqref="B75:J76">
    <cfRule type="containsErrors" dxfId="106" priority="6">
      <formula>ISERROR(B75)</formula>
    </cfRule>
  </conditionalFormatting>
  <conditionalFormatting sqref="B71">
    <cfRule type="containsErrors" dxfId="105" priority="25">
      <formula>ISERROR(B71)</formula>
    </cfRule>
  </conditionalFormatting>
  <conditionalFormatting sqref="D71:J71">
    <cfRule type="containsErrors" dxfId="104" priority="5">
      <formula>ISERROR(D71)</formula>
    </cfRule>
  </conditionalFormatting>
  <conditionalFormatting sqref="B77">
    <cfRule type="containsErrors" dxfId="103" priority="4">
      <formula>ISERROR(B77)</formula>
    </cfRule>
  </conditionalFormatting>
  <conditionalFormatting sqref="D77:J77">
    <cfRule type="containsErrors" dxfId="102" priority="3">
      <formula>ISERROR(D77)</formula>
    </cfRule>
  </conditionalFormatting>
  <conditionalFormatting sqref="N48">
    <cfRule type="expression" dxfId="101" priority="1" stopIfTrue="1">
      <formula>$B$35&gt;4</formula>
    </cfRule>
    <cfRule type="expression" dxfId="100"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FFA431A-8EF5-44CD-A1FC-7F8B11A3AD6B}">
          <x14:formula1>
            <xm:f>Datos!$F$15:$F$19</xm:f>
          </x14:formula1>
          <xm:sqref>B10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71914-0710-42E5-994C-2F2DC590B6EE}">
  <sheetPr codeName="Hoja7">
    <pageSetUpPr fitToPage="1"/>
  </sheetPr>
  <dimension ref="A1:N90"/>
  <sheetViews>
    <sheetView zoomScale="120" zoomScaleNormal="120" workbookViewId="0">
      <pane ySplit="7" topLeftCell="A10" activePane="bottomLeft" state="frozen"/>
      <selection activeCell="A16" sqref="A16"/>
      <selection pane="bottomLeft" activeCell="B10" sqref="B10"/>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184</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 t="shared" ref="G56:L56" si="10">SUM(G17:G55)</f>
        <v>0</v>
      </c>
      <c r="H56" s="72">
        <f t="shared" si="10"/>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c r="L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yJ/R2HCFju6KYFREhBwM8a1/Nd1+zox+mkTiy01Wa947gaJDtRBOaDE2fC9ZEVAMCyXQrDKJqVU/NLD3sj1zgQ==" saltValue="5tUkGvc2/7Y0rnPTChpBEA==" spinCount="100000" sheet="1" selectLockedCells="1" sort="0" autoFilter="0" pivotTables="0"/>
  <mergeCells count="4">
    <mergeCell ref="J9:K9"/>
    <mergeCell ref="J10:K10"/>
    <mergeCell ref="J11:K11"/>
    <mergeCell ref="A90:L90"/>
  </mergeCells>
  <conditionalFormatting sqref="I41 N37:N40">
    <cfRule type="expression" dxfId="99" priority="23" stopIfTrue="1">
      <formula>$B$36&gt;2</formula>
    </cfRule>
    <cfRule type="expression" dxfId="98" priority="24" stopIfTrue="1">
      <formula>$B$36&lt;3</formula>
    </cfRule>
  </conditionalFormatting>
  <conditionalFormatting sqref="N33:N34">
    <cfRule type="expression" dxfId="97" priority="21" stopIfTrue="1">
      <formula>$B$35&gt;4</formula>
    </cfRule>
    <cfRule type="expression" dxfId="96" priority="22" stopIfTrue="1">
      <formula>$B$35&lt;5</formula>
    </cfRule>
  </conditionalFormatting>
  <conditionalFormatting sqref="N31">
    <cfRule type="expression" dxfId="95" priority="19" stopIfTrue="1">
      <formula>$B$36&gt;2</formula>
    </cfRule>
    <cfRule type="expression" dxfId="94" priority="20" stopIfTrue="1">
      <formula>$B$36&lt;3</formula>
    </cfRule>
  </conditionalFormatting>
  <conditionalFormatting sqref="N32">
    <cfRule type="expression" dxfId="93" priority="17" stopIfTrue="1">
      <formula>$B$36&gt;2</formula>
    </cfRule>
    <cfRule type="expression" dxfId="92" priority="18" stopIfTrue="1">
      <formula>$B$36&lt;3</formula>
    </cfRule>
  </conditionalFormatting>
  <conditionalFormatting sqref="N36">
    <cfRule type="expression" dxfId="91" priority="13" stopIfTrue="1">
      <formula>$B$36&gt;2</formula>
    </cfRule>
    <cfRule type="expression" dxfId="90" priority="14" stopIfTrue="1">
      <formula>$B$36&lt;3</formula>
    </cfRule>
  </conditionalFormatting>
  <conditionalFormatting sqref="N35">
    <cfRule type="expression" dxfId="89" priority="15" stopIfTrue="1">
      <formula>$B$36&gt;2</formula>
    </cfRule>
    <cfRule type="expression" dxfId="88" priority="16" stopIfTrue="1">
      <formula>$B$36&lt;3</formula>
    </cfRule>
  </conditionalFormatting>
  <conditionalFormatting sqref="J17:J55">
    <cfRule type="cellIs" dxfId="87" priority="12" operator="equal">
      <formula>0</formula>
    </cfRule>
  </conditionalFormatting>
  <conditionalFormatting sqref="L11">
    <cfRule type="cellIs" dxfId="86" priority="8" stopIfTrue="1" operator="equal">
      <formula>"FAIL"</formula>
    </cfRule>
  </conditionalFormatting>
  <conditionalFormatting sqref="D86">
    <cfRule type="cellIs" dxfId="85" priority="11" stopIfTrue="1" operator="equal">
      <formula>"FAIL"</formula>
    </cfRule>
  </conditionalFormatting>
  <conditionalFormatting sqref="D87">
    <cfRule type="cellIs" dxfId="84" priority="10" stopIfTrue="1" operator="equal">
      <formula>"FAIL"</formula>
    </cfRule>
  </conditionalFormatting>
  <conditionalFormatting sqref="L10">
    <cfRule type="cellIs" dxfId="83" priority="9" stopIfTrue="1" operator="equal">
      <formula>"FAIL"</formula>
    </cfRule>
  </conditionalFormatting>
  <conditionalFormatting sqref="B69:J70">
    <cfRule type="containsErrors" dxfId="82" priority="7">
      <formula>ISERROR(B69)</formula>
    </cfRule>
  </conditionalFormatting>
  <conditionalFormatting sqref="B75:J76">
    <cfRule type="containsErrors" dxfId="81" priority="6">
      <formula>ISERROR(B75)</formula>
    </cfRule>
  </conditionalFormatting>
  <conditionalFormatting sqref="B71">
    <cfRule type="containsErrors" dxfId="80" priority="25">
      <formula>ISERROR(B71)</formula>
    </cfRule>
  </conditionalFormatting>
  <conditionalFormatting sqref="D71:J71">
    <cfRule type="containsErrors" dxfId="79" priority="5">
      <formula>ISERROR(D71)</formula>
    </cfRule>
  </conditionalFormatting>
  <conditionalFormatting sqref="B77">
    <cfRule type="containsErrors" dxfId="78" priority="4">
      <formula>ISERROR(B77)</formula>
    </cfRule>
  </conditionalFormatting>
  <conditionalFormatting sqref="D77:J77">
    <cfRule type="containsErrors" dxfId="77" priority="3">
      <formula>ISERROR(D77)</formula>
    </cfRule>
  </conditionalFormatting>
  <conditionalFormatting sqref="N48">
    <cfRule type="expression" dxfId="76" priority="1" stopIfTrue="1">
      <formula>$B$35&gt;4</formula>
    </cfRule>
    <cfRule type="expression" dxfId="75"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10BD67E-F7EF-49D9-83AB-FDA7685B9282}">
          <x14:formula1>
            <xm:f>Datos!$F$15:$F$19</xm:f>
          </x14:formula1>
          <xm:sqref>B10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C54D6-909E-495C-BABA-16A052CEE83D}">
  <sheetPr codeName="Hoja8">
    <pageSetUpPr fitToPage="1"/>
  </sheetPr>
  <dimension ref="A1:N90"/>
  <sheetViews>
    <sheetView zoomScale="120" zoomScaleNormal="120" workbookViewId="0">
      <pane ySplit="7" topLeftCell="A10" activePane="bottomLeft" state="frozen"/>
      <selection activeCell="A16" sqref="A16"/>
      <selection pane="bottomLeft" activeCell="B10" sqref="B10"/>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185</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 t="shared" ref="G56:L56" si="10">SUM(G17:G55)</f>
        <v>0</v>
      </c>
      <c r="H56" s="72">
        <f t="shared" si="10"/>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c r="L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NFLHci6vTXJ3Urpr/JDkpeVQejED36pLMhr2N6R0u/9pVWSsvJgyhRhCE6klc6ARkZFYHT9la/LG/J6fdsfMRw==" saltValue="6ESznQt/Cg2lNSkOXM1n0g==" spinCount="100000" sheet="1" selectLockedCells="1" sort="0" autoFilter="0" pivotTables="0"/>
  <mergeCells count="4">
    <mergeCell ref="J9:K9"/>
    <mergeCell ref="J10:K10"/>
    <mergeCell ref="J11:K11"/>
    <mergeCell ref="A90:L90"/>
  </mergeCells>
  <conditionalFormatting sqref="I41 N37:N40">
    <cfRule type="expression" dxfId="74" priority="23" stopIfTrue="1">
      <formula>$B$36&gt;2</formula>
    </cfRule>
    <cfRule type="expression" dxfId="73" priority="24" stopIfTrue="1">
      <formula>$B$36&lt;3</formula>
    </cfRule>
  </conditionalFormatting>
  <conditionalFormatting sqref="N33:N34">
    <cfRule type="expression" dxfId="72" priority="21" stopIfTrue="1">
      <formula>$B$35&gt;4</formula>
    </cfRule>
    <cfRule type="expression" dxfId="71" priority="22" stopIfTrue="1">
      <formula>$B$35&lt;5</formula>
    </cfRule>
  </conditionalFormatting>
  <conditionalFormatting sqref="N31">
    <cfRule type="expression" dxfId="70" priority="19" stopIfTrue="1">
      <formula>$B$36&gt;2</formula>
    </cfRule>
    <cfRule type="expression" dxfId="69" priority="20" stopIfTrue="1">
      <formula>$B$36&lt;3</formula>
    </cfRule>
  </conditionalFormatting>
  <conditionalFormatting sqref="N32">
    <cfRule type="expression" dxfId="68" priority="17" stopIfTrue="1">
      <formula>$B$36&gt;2</formula>
    </cfRule>
    <cfRule type="expression" dxfId="67" priority="18" stopIfTrue="1">
      <formula>$B$36&lt;3</formula>
    </cfRule>
  </conditionalFormatting>
  <conditionalFormatting sqref="N36">
    <cfRule type="expression" dxfId="66" priority="13" stopIfTrue="1">
      <formula>$B$36&gt;2</formula>
    </cfRule>
    <cfRule type="expression" dxfId="65" priority="14" stopIfTrue="1">
      <formula>$B$36&lt;3</formula>
    </cfRule>
  </conditionalFormatting>
  <conditionalFormatting sqref="N35">
    <cfRule type="expression" dxfId="64" priority="15" stopIfTrue="1">
      <formula>$B$36&gt;2</formula>
    </cfRule>
    <cfRule type="expression" dxfId="63" priority="16" stopIfTrue="1">
      <formula>$B$36&lt;3</formula>
    </cfRule>
  </conditionalFormatting>
  <conditionalFormatting sqref="J17:J55">
    <cfRule type="cellIs" dxfId="62" priority="12" operator="equal">
      <formula>0</formula>
    </cfRule>
  </conditionalFormatting>
  <conditionalFormatting sqref="L11">
    <cfRule type="cellIs" dxfId="61" priority="8" stopIfTrue="1" operator="equal">
      <formula>"FAIL"</formula>
    </cfRule>
  </conditionalFormatting>
  <conditionalFormatting sqref="D86">
    <cfRule type="cellIs" dxfId="60" priority="11" stopIfTrue="1" operator="equal">
      <formula>"FAIL"</formula>
    </cfRule>
  </conditionalFormatting>
  <conditionalFormatting sqref="D87">
    <cfRule type="cellIs" dxfId="59" priority="10" stopIfTrue="1" operator="equal">
      <formula>"FAIL"</formula>
    </cfRule>
  </conditionalFormatting>
  <conditionalFormatting sqref="L10">
    <cfRule type="cellIs" dxfId="58" priority="9" stopIfTrue="1" operator="equal">
      <formula>"FAIL"</formula>
    </cfRule>
  </conditionalFormatting>
  <conditionalFormatting sqref="B69:J70">
    <cfRule type="containsErrors" dxfId="57" priority="7">
      <formula>ISERROR(B69)</formula>
    </cfRule>
  </conditionalFormatting>
  <conditionalFormatting sqref="B75:J76">
    <cfRule type="containsErrors" dxfId="56" priority="6">
      <formula>ISERROR(B75)</formula>
    </cfRule>
  </conditionalFormatting>
  <conditionalFormatting sqref="B71">
    <cfRule type="containsErrors" dxfId="55" priority="25">
      <formula>ISERROR(B71)</formula>
    </cfRule>
  </conditionalFormatting>
  <conditionalFormatting sqref="D71:J71">
    <cfRule type="containsErrors" dxfId="54" priority="5">
      <formula>ISERROR(D71)</formula>
    </cfRule>
  </conditionalFormatting>
  <conditionalFormatting sqref="B77">
    <cfRule type="containsErrors" dxfId="53" priority="4">
      <formula>ISERROR(B77)</formula>
    </cfRule>
  </conditionalFormatting>
  <conditionalFormatting sqref="D77:J77">
    <cfRule type="containsErrors" dxfId="52" priority="3">
      <formula>ISERROR(D77)</formula>
    </cfRule>
  </conditionalFormatting>
  <conditionalFormatting sqref="N48">
    <cfRule type="expression" dxfId="51" priority="1" stopIfTrue="1">
      <formula>$B$35&gt;4</formula>
    </cfRule>
    <cfRule type="expression" dxfId="50"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B8E723B-DEFF-43FA-8C90-2D9A51F8638C}">
          <x14:formula1>
            <xm:f>Datos!$F$15:$F$19</xm:f>
          </x14:formula1>
          <xm:sqref>B10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3D222E-5EE4-414E-9198-81DA2C0BCDB3}">
  <sheetPr codeName="Hoja9">
    <pageSetUpPr fitToPage="1"/>
  </sheetPr>
  <dimension ref="A1:N90"/>
  <sheetViews>
    <sheetView zoomScale="120" zoomScaleNormal="120" workbookViewId="0">
      <pane ySplit="7" topLeftCell="A10" activePane="bottomLeft" state="frozen"/>
      <selection activeCell="A16" sqref="A16"/>
      <selection pane="bottomLeft" activeCell="B10" sqref="B10"/>
    </sheetView>
  </sheetViews>
  <sheetFormatPr baseColWidth="10" defaultRowHeight="12.75" x14ac:dyDescent="0.2"/>
  <cols>
    <col min="1" max="1" width="35.140625" customWidth="1"/>
    <col min="2" max="2" width="10.7109375" customWidth="1"/>
    <col min="3" max="3" width="11.140625" hidden="1" customWidth="1"/>
    <col min="4" max="4" width="12.7109375" bestFit="1" customWidth="1"/>
    <col min="5" max="6" width="10.7109375" hidden="1" customWidth="1"/>
    <col min="7" max="7" width="10.5703125" bestFit="1" customWidth="1"/>
    <col min="8" max="8" width="10.7109375" customWidth="1"/>
    <col min="9" max="9" width="5.5703125" bestFit="1" customWidth="1"/>
    <col min="10" max="10" width="7" customWidth="1"/>
    <col min="11" max="11" width="6.42578125" customWidth="1"/>
    <col min="12" max="12" width="6.5703125" customWidth="1"/>
    <col min="14" max="16" width="11.5703125" customWidth="1"/>
  </cols>
  <sheetData>
    <row r="1" spans="1:14" x14ac:dyDescent="0.2">
      <c r="H1" s="1"/>
      <c r="I1" s="2"/>
      <c r="J1" s="2"/>
      <c r="K1" s="2"/>
    </row>
    <row r="2" spans="1:14" x14ac:dyDescent="0.2">
      <c r="H2" s="1"/>
      <c r="I2" s="2"/>
      <c r="J2" s="2"/>
      <c r="K2" s="2"/>
    </row>
    <row r="3" spans="1:14" ht="15" x14ac:dyDescent="0.25">
      <c r="A3" s="3"/>
      <c r="H3" s="1"/>
      <c r="I3" s="2"/>
      <c r="J3" s="2"/>
      <c r="K3" s="2"/>
    </row>
    <row r="4" spans="1:14" ht="15" x14ac:dyDescent="0.25">
      <c r="A4" s="3"/>
      <c r="H4" s="1"/>
      <c r="I4" s="2"/>
      <c r="J4" s="2"/>
      <c r="K4" s="2"/>
    </row>
    <row r="5" spans="1:14" ht="15" x14ac:dyDescent="0.25">
      <c r="A5" s="3"/>
      <c r="H5" s="1"/>
      <c r="I5" s="2"/>
      <c r="J5" s="2"/>
      <c r="K5" s="2"/>
    </row>
    <row r="6" spans="1:14" ht="15" x14ac:dyDescent="0.25">
      <c r="A6" s="3"/>
      <c r="H6" s="1"/>
      <c r="I6" s="2"/>
      <c r="J6" s="2"/>
      <c r="K6" s="2"/>
    </row>
    <row r="7" spans="1:14" s="7" customFormat="1" ht="13.5" thickBot="1" x14ac:dyDescent="0.25">
      <c r="A7" s="4" t="str">
        <f>'System Calculation'!A7</f>
        <v>SYSTEM CALCULATOR DETNOV CAD-150 EXCEL TOOL</v>
      </c>
      <c r="B7" s="4"/>
      <c r="C7" s="4"/>
      <c r="D7" s="4"/>
      <c r="E7" s="4"/>
      <c r="F7" s="4"/>
      <c r="G7" s="4"/>
      <c r="H7" s="6"/>
      <c r="I7" s="5"/>
      <c r="J7" s="5"/>
      <c r="K7" s="5"/>
      <c r="L7" s="16" t="str">
        <f>'System Calculation'!J7</f>
        <v>SC 116 en 2019 a</v>
      </c>
    </row>
    <row r="8" spans="1:14" s="7" customFormat="1" ht="13.5" thickBot="1" x14ac:dyDescent="0.25">
      <c r="B8" s="29"/>
      <c r="C8" s="29"/>
      <c r="D8" s="29"/>
      <c r="E8" s="29"/>
      <c r="F8" s="29"/>
      <c r="G8" s="29"/>
      <c r="H8" s="36"/>
      <c r="I8" s="37"/>
      <c r="J8" s="37"/>
      <c r="K8" s="37"/>
      <c r="L8" s="38"/>
    </row>
    <row r="9" spans="1:14" s="7" customFormat="1" ht="13.5" thickBot="1" x14ac:dyDescent="0.25">
      <c r="A9" s="19" t="s">
        <v>64</v>
      </c>
      <c r="B9" s="118"/>
      <c r="C9" s="118"/>
      <c r="D9" s="119"/>
      <c r="E9" s="29"/>
      <c r="F9" s="29"/>
      <c r="G9" s="29"/>
      <c r="H9" s="36"/>
      <c r="J9" s="234" t="s">
        <v>138</v>
      </c>
      <c r="K9" s="238"/>
      <c r="L9" s="140"/>
      <c r="M9" s="38"/>
    </row>
    <row r="10" spans="1:14" s="7" customFormat="1" ht="13.5" thickBot="1" x14ac:dyDescent="0.25">
      <c r="A10" s="114" t="s">
        <v>133</v>
      </c>
      <c r="B10" s="120">
        <v>1.5</v>
      </c>
      <c r="C10" s="116"/>
      <c r="D10" s="117" t="s">
        <v>135</v>
      </c>
      <c r="E10" s="29"/>
      <c r="F10" s="29"/>
      <c r="G10" s="29"/>
      <c r="H10" s="36"/>
      <c r="J10" s="234" t="s">
        <v>139</v>
      </c>
      <c r="K10" s="235"/>
      <c r="L10" s="164" t="str">
        <f>IF($B$64&gt;0.4,"FAIL",IF($B$84&gt;=$B$64,"OK","FAIL"))</f>
        <v>OK</v>
      </c>
      <c r="N10" s="155" t="str">
        <f>IF($B$64&gt;0.4,"Error: The Loop Current is upper that Maximum Current allowed",IF($B$84&lt;$B$64,"Error: The Loop Current is upper that Maximum Current allowed",""))</f>
        <v/>
      </c>
    </row>
    <row r="11" spans="1:14" s="7" customFormat="1" ht="13.5" thickBot="1" x14ac:dyDescent="0.25">
      <c r="A11" s="26" t="s">
        <v>134</v>
      </c>
      <c r="B11" s="121">
        <v>2000</v>
      </c>
      <c r="C11" s="113"/>
      <c r="D11" s="34" t="s">
        <v>136</v>
      </c>
      <c r="E11" s="29"/>
      <c r="F11" s="29"/>
      <c r="G11" s="80" t="str">
        <f>IF(B11&gt;3500,"Error: The Maximum Lenght in the Line is 3500 m","")</f>
        <v/>
      </c>
      <c r="H11" s="36"/>
      <c r="J11" s="236" t="s">
        <v>140</v>
      </c>
      <c r="K11" s="237"/>
      <c r="L11" s="162" t="str">
        <f>IF($L$56&lt;=250,"OK","FAIL")</f>
        <v>OK</v>
      </c>
      <c r="N11" s="155" t="str">
        <f>IF($L$56&gt;250,"Error: The Loop cannot contain more than 250 addresses","")</f>
        <v/>
      </c>
    </row>
    <row r="12" spans="1:14" s="7" customFormat="1" x14ac:dyDescent="0.2">
      <c r="A12" s="154" t="s">
        <v>154</v>
      </c>
      <c r="B12" s="29"/>
      <c r="C12" s="29"/>
      <c r="D12" s="29"/>
      <c r="E12" s="29"/>
      <c r="F12" s="29"/>
      <c r="G12" s="29"/>
      <c r="H12" s="36"/>
      <c r="I12" s="37"/>
      <c r="J12" s="37"/>
      <c r="K12" s="37"/>
      <c r="L12" s="38"/>
    </row>
    <row r="13" spans="1:14" s="7" customFormat="1" x14ac:dyDescent="0.2">
      <c r="A13" s="154"/>
      <c r="B13" s="29"/>
      <c r="C13" s="29"/>
      <c r="D13" s="29"/>
      <c r="E13" s="29"/>
      <c r="F13" s="29"/>
      <c r="G13" s="29"/>
      <c r="H13" s="36"/>
      <c r="I13" s="37"/>
      <c r="J13" s="37"/>
      <c r="K13" s="37"/>
      <c r="L13" s="38"/>
    </row>
    <row r="14" spans="1:14" ht="13.5" thickBot="1" x14ac:dyDescent="0.25">
      <c r="B14" s="40" t="s">
        <v>10</v>
      </c>
      <c r="C14" s="15" t="s">
        <v>10</v>
      </c>
    </row>
    <row r="15" spans="1:14" ht="13.5" thickBot="1" x14ac:dyDescent="0.25">
      <c r="A15" s="8" t="s">
        <v>186</v>
      </c>
      <c r="B15" s="9"/>
      <c r="C15" s="9"/>
      <c r="D15" s="9"/>
      <c r="E15" s="9"/>
      <c r="F15" s="9"/>
      <c r="G15" s="9"/>
      <c r="H15" s="152"/>
      <c r="I15" s="152"/>
      <c r="J15" s="152"/>
      <c r="K15" s="152"/>
      <c r="L15" s="153"/>
    </row>
    <row r="16" spans="1:14" s="7" customFormat="1" ht="13.5" thickBot="1" x14ac:dyDescent="0.25">
      <c r="A16" s="148" t="s">
        <v>0</v>
      </c>
      <c r="B16" s="149" t="s">
        <v>1</v>
      </c>
      <c r="C16" s="149" t="s">
        <v>40</v>
      </c>
      <c r="D16" s="149" t="s">
        <v>40</v>
      </c>
      <c r="E16" s="149" t="s">
        <v>112</v>
      </c>
      <c r="F16" s="149" t="s">
        <v>41</v>
      </c>
      <c r="G16" s="149" t="s">
        <v>41</v>
      </c>
      <c r="H16" s="150" t="s">
        <v>137</v>
      </c>
      <c r="I16" s="150" t="s">
        <v>150</v>
      </c>
      <c r="J16" s="150" t="s">
        <v>151</v>
      </c>
      <c r="K16" s="150" t="s">
        <v>152</v>
      </c>
      <c r="L16" s="151" t="s">
        <v>153</v>
      </c>
    </row>
    <row r="17" spans="1:14" x14ac:dyDescent="0.2">
      <c r="A17" s="136" t="s">
        <v>2</v>
      </c>
      <c r="B17" s="115"/>
      <c r="C17" s="203">
        <v>2.9999999999999997E-4</v>
      </c>
      <c r="D17" s="137">
        <f>B17*C17</f>
        <v>0</v>
      </c>
      <c r="E17" s="138">
        <f>IF(B17&gt;10,10,B17)</f>
        <v>0</v>
      </c>
      <c r="F17" s="203">
        <v>3.0000000000000001E-3</v>
      </c>
      <c r="G17" s="137">
        <f>E17*F17</f>
        <v>0</v>
      </c>
      <c r="H17" s="52"/>
      <c r="I17" s="52" t="str">
        <f t="shared" ref="I17:I24" si="0">IF(B17&lt;&gt;0,B17," ")</f>
        <v xml:space="preserve"> </v>
      </c>
      <c r="J17" s="52"/>
      <c r="K17" s="52"/>
      <c r="L17" s="139" t="str">
        <f>IF(I17&lt;&gt;0,I17," ")</f>
        <v xml:space="preserve"> </v>
      </c>
    </row>
    <row r="18" spans="1:14" x14ac:dyDescent="0.2">
      <c r="A18" s="22" t="s">
        <v>17</v>
      </c>
      <c r="B18" s="23"/>
      <c r="C18" s="24">
        <v>2.9999999999999997E-4</v>
      </c>
      <c r="D18" s="70">
        <f>B18*C18</f>
        <v>0</v>
      </c>
      <c r="E18" s="138">
        <f t="shared" ref="E18:E24" si="1">IF(B18&gt;10,10,B18)</f>
        <v>0</v>
      </c>
      <c r="F18" s="24">
        <v>3.0000000000000001E-3</v>
      </c>
      <c r="G18" s="70">
        <f>E18*F18</f>
        <v>0</v>
      </c>
      <c r="H18" s="61"/>
      <c r="I18" s="61" t="str">
        <f t="shared" si="0"/>
        <v xml:space="preserve"> </v>
      </c>
      <c r="J18" s="61"/>
      <c r="K18" s="61"/>
      <c r="L18" s="126" t="str">
        <f t="shared" ref="L18:L24" si="2">IF(I18&lt;&gt;0,I18," ")</f>
        <v xml:space="preserve"> </v>
      </c>
    </row>
    <row r="19" spans="1:14" x14ac:dyDescent="0.2">
      <c r="A19" s="22" t="s">
        <v>3</v>
      </c>
      <c r="B19" s="23"/>
      <c r="C19" s="24">
        <v>2.9999999999999997E-4</v>
      </c>
      <c r="D19" s="70">
        <f t="shared" ref="D19:D55" si="3">B19*C19</f>
        <v>0</v>
      </c>
      <c r="E19" s="138">
        <f t="shared" si="1"/>
        <v>0</v>
      </c>
      <c r="F19" s="24">
        <v>3.0000000000000001E-3</v>
      </c>
      <c r="G19" s="70">
        <f t="shared" ref="G19:G55" si="4">E19*F19</f>
        <v>0</v>
      </c>
      <c r="H19" s="61"/>
      <c r="I19" s="61" t="str">
        <f t="shared" si="0"/>
        <v xml:space="preserve"> </v>
      </c>
      <c r="J19" s="61"/>
      <c r="K19" s="61"/>
      <c r="L19" s="126" t="str">
        <f t="shared" si="2"/>
        <v xml:space="preserve"> </v>
      </c>
    </row>
    <row r="20" spans="1:14" x14ac:dyDescent="0.2">
      <c r="A20" s="22" t="s">
        <v>18</v>
      </c>
      <c r="B20" s="23"/>
      <c r="C20" s="24">
        <v>2.9999999999999997E-4</v>
      </c>
      <c r="D20" s="70">
        <f t="shared" si="3"/>
        <v>0</v>
      </c>
      <c r="E20" s="138">
        <f t="shared" si="1"/>
        <v>0</v>
      </c>
      <c r="F20" s="24">
        <v>3.0000000000000001E-3</v>
      </c>
      <c r="G20" s="70">
        <f t="shared" si="4"/>
        <v>0</v>
      </c>
      <c r="H20" s="61"/>
      <c r="I20" s="61" t="str">
        <f t="shared" si="0"/>
        <v xml:space="preserve"> </v>
      </c>
      <c r="J20" s="61"/>
      <c r="K20" s="61"/>
      <c r="L20" s="126" t="str">
        <f t="shared" si="2"/>
        <v xml:space="preserve"> </v>
      </c>
    </row>
    <row r="21" spans="1:14" x14ac:dyDescent="0.2">
      <c r="A21" s="22" t="s">
        <v>4</v>
      </c>
      <c r="B21" s="23"/>
      <c r="C21" s="24">
        <v>2.9999999999999997E-4</v>
      </c>
      <c r="D21" s="70">
        <f t="shared" si="3"/>
        <v>0</v>
      </c>
      <c r="E21" s="138">
        <f t="shared" si="1"/>
        <v>0</v>
      </c>
      <c r="F21" s="24">
        <v>3.0000000000000001E-3</v>
      </c>
      <c r="G21" s="70">
        <f t="shared" si="4"/>
        <v>0</v>
      </c>
      <c r="H21" s="61"/>
      <c r="I21" s="61" t="str">
        <f t="shared" si="0"/>
        <v xml:space="preserve"> </v>
      </c>
      <c r="J21" s="61"/>
      <c r="K21" s="61"/>
      <c r="L21" s="126" t="str">
        <f t="shared" si="2"/>
        <v xml:space="preserve"> </v>
      </c>
    </row>
    <row r="22" spans="1:14" x14ac:dyDescent="0.2">
      <c r="A22" s="22" t="s">
        <v>19</v>
      </c>
      <c r="B22" s="23"/>
      <c r="C22" s="24">
        <v>2.9999999999999997E-4</v>
      </c>
      <c r="D22" s="70">
        <f t="shared" si="3"/>
        <v>0</v>
      </c>
      <c r="E22" s="138">
        <f t="shared" si="1"/>
        <v>0</v>
      </c>
      <c r="F22" s="24">
        <v>3.0000000000000001E-3</v>
      </c>
      <c r="G22" s="70">
        <f t="shared" si="4"/>
        <v>0</v>
      </c>
      <c r="H22" s="61"/>
      <c r="I22" s="61" t="str">
        <f t="shared" si="0"/>
        <v xml:space="preserve"> </v>
      </c>
      <c r="J22" s="61"/>
      <c r="K22" s="61"/>
      <c r="L22" s="126" t="str">
        <f t="shared" si="2"/>
        <v xml:space="preserve"> </v>
      </c>
    </row>
    <row r="23" spans="1:14" x14ac:dyDescent="0.2">
      <c r="A23" s="22" t="s">
        <v>5</v>
      </c>
      <c r="B23" s="23"/>
      <c r="C23" s="24">
        <v>2.9999999999999997E-4</v>
      </c>
      <c r="D23" s="70">
        <f t="shared" si="3"/>
        <v>0</v>
      </c>
      <c r="E23" s="138">
        <f t="shared" si="1"/>
        <v>0</v>
      </c>
      <c r="F23" s="24">
        <v>3.0000000000000001E-3</v>
      </c>
      <c r="G23" s="70">
        <f t="shared" si="4"/>
        <v>0</v>
      </c>
      <c r="H23" s="61"/>
      <c r="I23" s="61" t="str">
        <f t="shared" si="0"/>
        <v xml:space="preserve"> </v>
      </c>
      <c r="J23" s="61"/>
      <c r="K23" s="61"/>
      <c r="L23" s="126" t="str">
        <f t="shared" si="2"/>
        <v xml:space="preserve"> </v>
      </c>
    </row>
    <row r="24" spans="1:14" x14ac:dyDescent="0.2">
      <c r="A24" s="22" t="s">
        <v>20</v>
      </c>
      <c r="B24" s="23"/>
      <c r="C24" s="24">
        <v>2.9999999999999997E-4</v>
      </c>
      <c r="D24" s="70">
        <f t="shared" si="3"/>
        <v>0</v>
      </c>
      <c r="E24" s="138">
        <f t="shared" si="1"/>
        <v>0</v>
      </c>
      <c r="F24" s="24">
        <v>3.0000000000000001E-3</v>
      </c>
      <c r="G24" s="70">
        <f t="shared" si="4"/>
        <v>0</v>
      </c>
      <c r="H24" s="61"/>
      <c r="I24" s="61" t="str">
        <f t="shared" si="0"/>
        <v xml:space="preserve"> </v>
      </c>
      <c r="J24" s="61"/>
      <c r="K24" s="61"/>
      <c r="L24" s="126" t="str">
        <f t="shared" si="2"/>
        <v xml:space="preserve"> </v>
      </c>
    </row>
    <row r="25" spans="1:14" x14ac:dyDescent="0.2">
      <c r="A25" s="25" t="s">
        <v>22</v>
      </c>
      <c r="B25" s="23"/>
      <c r="C25" s="24">
        <v>2.9999999999999997E-4</v>
      </c>
      <c r="D25" s="70">
        <f t="shared" si="3"/>
        <v>0</v>
      </c>
      <c r="E25" s="74">
        <f>B25*'System Calculation'!$I$14</f>
        <v>0</v>
      </c>
      <c r="F25" s="24">
        <v>3.0000000000000001E-3</v>
      </c>
      <c r="G25" s="70">
        <f t="shared" si="4"/>
        <v>0</v>
      </c>
      <c r="H25" s="61"/>
      <c r="I25" s="61"/>
      <c r="J25" s="61" t="str">
        <f>IF(B25&lt;&gt;0,B25," ")</f>
        <v xml:space="preserve"> </v>
      </c>
      <c r="K25" s="61"/>
      <c r="L25" s="126" t="str">
        <f>IF(J25&lt;&gt;0,J25," ")</f>
        <v xml:space="preserve"> </v>
      </c>
    </row>
    <row r="26" spans="1:14" x14ac:dyDescent="0.2">
      <c r="A26" s="25" t="s">
        <v>23</v>
      </c>
      <c r="B26" s="23"/>
      <c r="C26" s="24">
        <v>2.9999999999999997E-4</v>
      </c>
      <c r="D26" s="70">
        <f t="shared" si="3"/>
        <v>0</v>
      </c>
      <c r="E26" s="74">
        <f>B26*'System Calculation'!$I$14</f>
        <v>0</v>
      </c>
      <c r="F26" s="24">
        <v>3.0000000000000001E-3</v>
      </c>
      <c r="G26" s="70">
        <f t="shared" si="4"/>
        <v>0</v>
      </c>
      <c r="H26" s="61"/>
      <c r="I26" s="61"/>
      <c r="J26" s="61">
        <f>IF(B26&lt;&gt;0,B26,0)</f>
        <v>0</v>
      </c>
      <c r="K26" s="61"/>
      <c r="L26" s="126" t="str">
        <f>IF(J26&lt;&gt;0,2*J26," ")</f>
        <v xml:space="preserve"> </v>
      </c>
    </row>
    <row r="27" spans="1:14" x14ac:dyDescent="0.2">
      <c r="A27" s="25" t="s">
        <v>33</v>
      </c>
      <c r="B27" s="23"/>
      <c r="C27" s="24">
        <v>2.9999999999999997E-4</v>
      </c>
      <c r="D27" s="70">
        <f t="shared" si="3"/>
        <v>0</v>
      </c>
      <c r="E27" s="74">
        <f>B27*'System Calculation'!$I$14</f>
        <v>0</v>
      </c>
      <c r="F27" s="24">
        <v>3.0000000000000001E-3</v>
      </c>
      <c r="G27" s="70">
        <f t="shared" si="4"/>
        <v>0</v>
      </c>
      <c r="H27" s="61"/>
      <c r="I27" s="61"/>
      <c r="J27" s="61">
        <f>IF(B27&lt;&gt;0,B27,0)</f>
        <v>0</v>
      </c>
      <c r="K27" s="61"/>
      <c r="L27" s="126" t="str">
        <f>IF(J27&lt;&gt;0,5*J27," ")</f>
        <v xml:space="preserve"> </v>
      </c>
    </row>
    <row r="28" spans="1:14" x14ac:dyDescent="0.2">
      <c r="A28" s="25" t="s">
        <v>34</v>
      </c>
      <c r="B28" s="23"/>
      <c r="C28" s="24">
        <v>2.9999999999999997E-4</v>
      </c>
      <c r="D28" s="70">
        <f t="shared" si="3"/>
        <v>0</v>
      </c>
      <c r="E28" s="74">
        <f>B28*'System Calculation'!$I$14</f>
        <v>0</v>
      </c>
      <c r="F28" s="24">
        <v>3.0000000000000001E-3</v>
      </c>
      <c r="G28" s="70">
        <f t="shared" si="4"/>
        <v>0</v>
      </c>
      <c r="H28" s="61"/>
      <c r="I28" s="61"/>
      <c r="J28" s="61">
        <f>IF(B28&lt;&gt;0,B28,0)</f>
        <v>0</v>
      </c>
      <c r="K28" s="61"/>
      <c r="L28" s="126" t="str">
        <f>IF(J28&lt;&gt;0,10*J28," ")</f>
        <v xml:space="preserve"> </v>
      </c>
    </row>
    <row r="29" spans="1:14" x14ac:dyDescent="0.2">
      <c r="A29" s="25" t="s">
        <v>24</v>
      </c>
      <c r="B29" s="23"/>
      <c r="C29" s="24">
        <v>2.9999999999999997E-4</v>
      </c>
      <c r="D29" s="70">
        <f t="shared" si="3"/>
        <v>0</v>
      </c>
      <c r="E29" s="74">
        <f>B29*'System Calculation'!$I$14</f>
        <v>0</v>
      </c>
      <c r="F29" s="24">
        <v>3.0000000000000001E-3</v>
      </c>
      <c r="G29" s="70">
        <f t="shared" si="4"/>
        <v>0</v>
      </c>
      <c r="H29" s="61"/>
      <c r="I29" s="61"/>
      <c r="J29" s="61" t="str">
        <f>IF(B29&lt;&gt;0,B29," ")</f>
        <v xml:space="preserve"> </v>
      </c>
      <c r="K29" s="61"/>
      <c r="L29" s="126" t="str">
        <f>IF(J29&lt;&gt;0,J29," ")</f>
        <v xml:space="preserve"> </v>
      </c>
    </row>
    <row r="30" spans="1:14" x14ac:dyDescent="0.2">
      <c r="A30" s="25" t="s">
        <v>25</v>
      </c>
      <c r="B30" s="23"/>
      <c r="C30" s="24">
        <v>2.9999999999999997E-4</v>
      </c>
      <c r="D30" s="70">
        <f t="shared" si="3"/>
        <v>0</v>
      </c>
      <c r="E30" s="74">
        <f>B30*'System Calculation'!$I$14</f>
        <v>0</v>
      </c>
      <c r="F30" s="24">
        <v>3.0000000000000001E-3</v>
      </c>
      <c r="G30" s="70">
        <f t="shared" si="4"/>
        <v>0</v>
      </c>
      <c r="H30" s="61"/>
      <c r="I30" s="61"/>
      <c r="J30" s="61">
        <f t="shared" ref="J30:J36" si="5">IF(B30&lt;&gt;0,B30,0)</f>
        <v>0</v>
      </c>
      <c r="K30" s="61"/>
      <c r="L30" s="126" t="str">
        <f>IF(J30&lt;&gt;0,2*J30," ")</f>
        <v xml:space="preserve"> </v>
      </c>
    </row>
    <row r="31" spans="1:14" x14ac:dyDescent="0.2">
      <c r="A31" s="25" t="s">
        <v>35</v>
      </c>
      <c r="B31" s="23"/>
      <c r="C31" s="24">
        <v>2.9999999999999997E-4</v>
      </c>
      <c r="D31" s="70">
        <f t="shared" si="3"/>
        <v>0</v>
      </c>
      <c r="E31" s="74">
        <f>B31*'System Calculation'!$I$14</f>
        <v>0</v>
      </c>
      <c r="F31" s="24">
        <v>3.0000000000000001E-3</v>
      </c>
      <c r="G31" s="70">
        <f t="shared" si="4"/>
        <v>0</v>
      </c>
      <c r="H31" s="61"/>
      <c r="I31" s="61"/>
      <c r="J31" s="61">
        <f t="shared" si="5"/>
        <v>0</v>
      </c>
      <c r="K31" s="61"/>
      <c r="L31" s="126" t="str">
        <f>IF(J31&lt;&gt;0,5*J31," ")</f>
        <v xml:space="preserve"> </v>
      </c>
      <c r="N31" s="200" t="str">
        <f>IF(AND(B31&gt;0),"Info: External 24V needed. Control Panel could provide from 24Vaux, if 500mA maximum current isn't exceeded."," ")</f>
        <v xml:space="preserve"> </v>
      </c>
    </row>
    <row r="32" spans="1:14" x14ac:dyDescent="0.2">
      <c r="A32" s="25" t="s">
        <v>36</v>
      </c>
      <c r="B32" s="23"/>
      <c r="C32" s="24">
        <v>2.9999999999999997E-4</v>
      </c>
      <c r="D32" s="70">
        <f t="shared" si="3"/>
        <v>0</v>
      </c>
      <c r="E32" s="74">
        <f>B32*'System Calculation'!$I$14</f>
        <v>0</v>
      </c>
      <c r="F32" s="24">
        <v>3.0000000000000001E-3</v>
      </c>
      <c r="G32" s="70">
        <f t="shared" si="4"/>
        <v>0</v>
      </c>
      <c r="H32" s="61"/>
      <c r="I32" s="61"/>
      <c r="J32" s="61">
        <f t="shared" si="5"/>
        <v>0</v>
      </c>
      <c r="K32" s="61"/>
      <c r="L32" s="126" t="str">
        <f>IF(J32&lt;&gt;0,10*J32," ")</f>
        <v xml:space="preserve"> </v>
      </c>
      <c r="N32" s="41" t="str">
        <f>IF(AND(B32&gt;0),"Info: External 24V needed. Control Panel could provide from 24Vaux, if 500mA maximum current isn't exceeded."," ")</f>
        <v xml:space="preserve"> </v>
      </c>
    </row>
    <row r="33" spans="1:14" x14ac:dyDescent="0.2">
      <c r="A33" s="25" t="s">
        <v>26</v>
      </c>
      <c r="B33" s="23"/>
      <c r="C33" s="24">
        <v>2.9999999999999997E-4</v>
      </c>
      <c r="D33" s="70">
        <f t="shared" si="3"/>
        <v>0</v>
      </c>
      <c r="E33" s="74">
        <f>B33*'System Calculation'!$I$14</f>
        <v>0</v>
      </c>
      <c r="F33" s="24">
        <v>3.0000000000000001E-3</v>
      </c>
      <c r="G33" s="70">
        <f t="shared" si="4"/>
        <v>0</v>
      </c>
      <c r="H33" s="61"/>
      <c r="I33" s="61"/>
      <c r="J33" s="61">
        <f t="shared" si="5"/>
        <v>0</v>
      </c>
      <c r="K33" s="61"/>
      <c r="L33" s="126" t="str">
        <f>IF(J33&lt;&gt;0,2*J33," ")</f>
        <v xml:space="preserve"> </v>
      </c>
      <c r="N33" s="41"/>
    </row>
    <row r="34" spans="1:14" x14ac:dyDescent="0.2">
      <c r="A34" s="25" t="s">
        <v>27</v>
      </c>
      <c r="B34" s="23"/>
      <c r="C34" s="24">
        <v>2.9999999999999997E-4</v>
      </c>
      <c r="D34" s="70">
        <f t="shared" si="3"/>
        <v>0</v>
      </c>
      <c r="E34" s="74">
        <f>B34*'System Calculation'!$I$14</f>
        <v>0</v>
      </c>
      <c r="F34" s="24">
        <v>3.0000000000000001E-3</v>
      </c>
      <c r="G34" s="70">
        <f t="shared" si="4"/>
        <v>0</v>
      </c>
      <c r="H34" s="61"/>
      <c r="I34" s="61"/>
      <c r="J34" s="61">
        <f t="shared" si="5"/>
        <v>0</v>
      </c>
      <c r="K34" s="61"/>
      <c r="L34" s="126" t="str">
        <f>IF(J34&lt;&gt;0,4*J34," ")</f>
        <v xml:space="preserve"> </v>
      </c>
      <c r="N34" s="41" t="str">
        <f>IF(AND(B34&gt;0,B34&lt;5),CONCATENATE("Info: External 24V needed. Control Panel could provide from 24Vaux, if 500mA maximum current isn't exceeded. Current requested from device(s) = ",D34,"mA."),IF(B34=0," ",IF(OR(B34=5,B34&gt;5),CONCATENATE("Warning: External 24V PSU is mandatory. Current requested from devices = ",D34,"mA.")," ")))</f>
        <v xml:space="preserve"> </v>
      </c>
    </row>
    <row r="35" spans="1:14" x14ac:dyDescent="0.2">
      <c r="A35" s="25" t="s">
        <v>37</v>
      </c>
      <c r="B35" s="23"/>
      <c r="C35" s="24">
        <v>2.9999999999999997E-4</v>
      </c>
      <c r="D35" s="70">
        <f t="shared" si="3"/>
        <v>0</v>
      </c>
      <c r="E35" s="74">
        <f>B35*'System Calculation'!$I$14</f>
        <v>0</v>
      </c>
      <c r="F35" s="24">
        <v>3.0000000000000001E-3</v>
      </c>
      <c r="G35" s="70">
        <f t="shared" si="4"/>
        <v>0</v>
      </c>
      <c r="H35" s="61"/>
      <c r="I35" s="61"/>
      <c r="J35" s="61">
        <f t="shared" si="5"/>
        <v>0</v>
      </c>
      <c r="K35" s="61"/>
      <c r="L35" s="126" t="str">
        <f>IF(J35&lt;&gt;0,10*J35," ")</f>
        <v xml:space="preserve"> </v>
      </c>
      <c r="N35" s="41" t="str">
        <f t="shared" ref="N35:N40" si="6">IF(AND(B35&gt;0),"Info: External 24V needed. Control Panel could provide from 24Vaux, if 500mA maximum current isn't exceeded."," ")</f>
        <v xml:space="preserve"> </v>
      </c>
    </row>
    <row r="36" spans="1:14" x14ac:dyDescent="0.2">
      <c r="A36" s="25" t="s">
        <v>38</v>
      </c>
      <c r="B36" s="23"/>
      <c r="C36" s="24">
        <v>2.9999999999999997E-4</v>
      </c>
      <c r="D36" s="70">
        <f t="shared" si="3"/>
        <v>0</v>
      </c>
      <c r="E36" s="74">
        <f>B36*'System Calculation'!$I$14</f>
        <v>0</v>
      </c>
      <c r="F36" s="24">
        <v>3.0000000000000001E-3</v>
      </c>
      <c r="G36" s="70">
        <f t="shared" si="4"/>
        <v>0</v>
      </c>
      <c r="H36" s="61"/>
      <c r="I36" s="61"/>
      <c r="J36" s="61">
        <f t="shared" si="5"/>
        <v>0</v>
      </c>
      <c r="K36" s="61"/>
      <c r="L36" s="126" t="str">
        <f>IF(J36&lt;&gt;0,20*J36," ")</f>
        <v xml:space="preserve"> </v>
      </c>
      <c r="N36" s="41" t="str">
        <f t="shared" si="6"/>
        <v xml:space="preserve"> </v>
      </c>
    </row>
    <row r="37" spans="1:14" x14ac:dyDescent="0.2">
      <c r="A37" s="25" t="s">
        <v>28</v>
      </c>
      <c r="B37" s="23"/>
      <c r="C37" s="24">
        <v>2.9999999999999997E-4</v>
      </c>
      <c r="D37" s="70">
        <f t="shared" si="3"/>
        <v>0</v>
      </c>
      <c r="E37" s="74">
        <f>B37*'System Calculation'!$I$14</f>
        <v>0</v>
      </c>
      <c r="F37" s="24">
        <v>3.0000000000000001E-3</v>
      </c>
      <c r="G37" s="70">
        <f t="shared" si="4"/>
        <v>0</v>
      </c>
      <c r="H37" s="61"/>
      <c r="I37" s="61"/>
      <c r="J37" s="61" t="str">
        <f>IF(B37&lt;&gt;0,B37," ")</f>
        <v xml:space="preserve"> </v>
      </c>
      <c r="K37" s="61"/>
      <c r="L37" s="126" t="str">
        <f>IF(J37&lt;&gt;0,J37," ")</f>
        <v xml:space="preserve"> </v>
      </c>
      <c r="N37" s="41" t="str">
        <f t="shared" si="6"/>
        <v xml:space="preserve"> </v>
      </c>
    </row>
    <row r="38" spans="1:14" x14ac:dyDescent="0.2">
      <c r="A38" s="25" t="s">
        <v>29</v>
      </c>
      <c r="B38" s="23"/>
      <c r="C38" s="24">
        <v>2.9999999999999997E-4</v>
      </c>
      <c r="D38" s="70">
        <f t="shared" si="3"/>
        <v>0</v>
      </c>
      <c r="E38" s="74">
        <f>B38*'System Calculation'!$I$14</f>
        <v>0</v>
      </c>
      <c r="F38" s="24">
        <v>3.0000000000000001E-3</v>
      </c>
      <c r="G38" s="70">
        <f t="shared" si="4"/>
        <v>0</v>
      </c>
      <c r="H38" s="61"/>
      <c r="I38" s="61"/>
      <c r="J38" s="61">
        <f>IF(B38&lt;&gt;0,B38,0)</f>
        <v>0</v>
      </c>
      <c r="K38" s="61"/>
      <c r="L38" s="126" t="str">
        <f>IF(J38&lt;&gt;0,2*J38," ")</f>
        <v xml:space="preserve"> </v>
      </c>
      <c r="N38" s="41" t="str">
        <f t="shared" si="6"/>
        <v xml:space="preserve"> </v>
      </c>
    </row>
    <row r="39" spans="1:14" x14ac:dyDescent="0.2">
      <c r="A39" s="25" t="s">
        <v>30</v>
      </c>
      <c r="B39" s="23"/>
      <c r="C39" s="24">
        <v>2.9999999999999997E-4</v>
      </c>
      <c r="D39" s="70">
        <f t="shared" si="3"/>
        <v>0</v>
      </c>
      <c r="E39" s="74">
        <f>B39*'System Calculation'!$I$14</f>
        <v>0</v>
      </c>
      <c r="F39" s="24">
        <v>3.0000000000000001E-3</v>
      </c>
      <c r="G39" s="70">
        <f t="shared" si="4"/>
        <v>0</v>
      </c>
      <c r="H39" s="61"/>
      <c r="I39" s="61"/>
      <c r="J39" s="61" t="str">
        <f>IF(B39&lt;&gt;0,B39," ")</f>
        <v xml:space="preserve"> </v>
      </c>
      <c r="K39" s="61"/>
      <c r="L39" s="126" t="str">
        <f>IF(J39&lt;&gt;0,J39," ")</f>
        <v xml:space="preserve"> </v>
      </c>
      <c r="N39" s="41" t="str">
        <f t="shared" si="6"/>
        <v xml:space="preserve"> </v>
      </c>
    </row>
    <row r="40" spans="1:14" x14ac:dyDescent="0.2">
      <c r="A40" s="25" t="s">
        <v>31</v>
      </c>
      <c r="B40" s="23"/>
      <c r="C40" s="24">
        <v>2.9999999999999997E-4</v>
      </c>
      <c r="D40" s="70">
        <f t="shared" si="3"/>
        <v>0</v>
      </c>
      <c r="E40" s="74">
        <f>B40*'System Calculation'!$I$14</f>
        <v>0</v>
      </c>
      <c r="F40" s="24">
        <v>3.0000000000000001E-3</v>
      </c>
      <c r="G40" s="70">
        <f t="shared" si="4"/>
        <v>0</v>
      </c>
      <c r="H40" s="61"/>
      <c r="I40" s="61"/>
      <c r="J40" s="61">
        <f>IF(B40&lt;&gt;0,B40,0)</f>
        <v>0</v>
      </c>
      <c r="K40" s="61"/>
      <c r="L40" s="126" t="str">
        <f>IF(J40&lt;&gt;0,2*J40," ")</f>
        <v xml:space="preserve"> </v>
      </c>
      <c r="N40" s="41" t="str">
        <f t="shared" si="6"/>
        <v xml:space="preserve"> </v>
      </c>
    </row>
    <row r="41" spans="1:14" x14ac:dyDescent="0.2">
      <c r="A41" s="25" t="s">
        <v>32</v>
      </c>
      <c r="B41" s="23"/>
      <c r="C41" s="24">
        <v>2.9999999999999997E-4</v>
      </c>
      <c r="D41" s="70">
        <f t="shared" si="3"/>
        <v>0</v>
      </c>
      <c r="E41" s="74">
        <f>B41*'System Calculation'!$I$12</f>
        <v>0</v>
      </c>
      <c r="F41" s="24">
        <v>3.0000000000000001E-3</v>
      </c>
      <c r="G41" s="70">
        <f t="shared" si="4"/>
        <v>0</v>
      </c>
      <c r="H41" s="61"/>
      <c r="I41" s="60"/>
      <c r="J41" s="61"/>
      <c r="K41" s="61"/>
      <c r="L41" s="126" t="str">
        <f>IF(B41&lt;&gt;0,B41," ")</f>
        <v xml:space="preserve"> </v>
      </c>
      <c r="N41" s="11"/>
    </row>
    <row r="42" spans="1:14" x14ac:dyDescent="0.2">
      <c r="A42" s="25" t="s">
        <v>39</v>
      </c>
      <c r="B42" s="23"/>
      <c r="C42" s="24">
        <v>2.9999999999999997E-4</v>
      </c>
      <c r="D42" s="70">
        <f t="shared" si="3"/>
        <v>0</v>
      </c>
      <c r="E42" s="74">
        <f>B42*'System Calculation'!$I$12</f>
        <v>0</v>
      </c>
      <c r="F42" s="24">
        <v>3.0000000000000001E-3</v>
      </c>
      <c r="G42" s="70">
        <f t="shared" si="4"/>
        <v>0</v>
      </c>
      <c r="H42" s="61"/>
      <c r="I42" s="61"/>
      <c r="J42" s="61"/>
      <c r="K42" s="61"/>
      <c r="L42" s="126" t="str">
        <f>IF(B42&lt;&gt;0,B42," ")</f>
        <v xml:space="preserve"> </v>
      </c>
    </row>
    <row r="43" spans="1:14" x14ac:dyDescent="0.2">
      <c r="A43" s="22" t="s">
        <v>14</v>
      </c>
      <c r="B43" s="23"/>
      <c r="C43" s="24">
        <v>2.9999999999999997E-4</v>
      </c>
      <c r="D43" s="70">
        <f t="shared" si="3"/>
        <v>0</v>
      </c>
      <c r="E43" s="74">
        <f>B43*'System Calculation'!$I$13</f>
        <v>0</v>
      </c>
      <c r="F43" s="24">
        <v>8.9999999999999993E-3</v>
      </c>
      <c r="G43" s="70">
        <f>E43*F43</f>
        <v>0</v>
      </c>
      <c r="H43" s="61" t="str">
        <f>IF(B43*G43=0," ",G43)</f>
        <v xml:space="preserve"> </v>
      </c>
      <c r="I43" s="61"/>
      <c r="J43" s="61"/>
      <c r="K43" s="61" t="str">
        <f t="shared" ref="K43:K47" si="7">IF(B43&lt;&gt;0,B43," ")</f>
        <v xml:space="preserve"> </v>
      </c>
      <c r="L43" s="126" t="str">
        <f>IF(K43&lt;&gt;0,K43," ")</f>
        <v xml:space="preserve"> </v>
      </c>
    </row>
    <row r="44" spans="1:14" x14ac:dyDescent="0.2">
      <c r="A44" s="25" t="s">
        <v>15</v>
      </c>
      <c r="B44" s="23"/>
      <c r="C44" s="24">
        <v>2.9999999999999997E-4</v>
      </c>
      <c r="D44" s="70">
        <f t="shared" si="3"/>
        <v>0</v>
      </c>
      <c r="E44" s="74">
        <f>B44*'System Calculation'!$I$13</f>
        <v>0</v>
      </c>
      <c r="F44" s="24">
        <v>1.2999999999999999E-2</v>
      </c>
      <c r="G44" s="70">
        <f t="shared" si="4"/>
        <v>0</v>
      </c>
      <c r="H44" s="61" t="str">
        <f t="shared" ref="H44:H47" si="8">IF(B44*G44=0," ",G44)</f>
        <v xml:space="preserve"> </v>
      </c>
      <c r="I44" s="61"/>
      <c r="J44" s="61"/>
      <c r="K44" s="61" t="str">
        <f t="shared" si="7"/>
        <v xml:space="preserve"> </v>
      </c>
      <c r="L44" s="126" t="str">
        <f t="shared" ref="L44:L48" si="9">IF(K44&lt;&gt;0,K44," ")</f>
        <v xml:space="preserve"> </v>
      </c>
    </row>
    <row r="45" spans="1:14" x14ac:dyDescent="0.2">
      <c r="A45" s="25" t="s">
        <v>16</v>
      </c>
      <c r="B45" s="23"/>
      <c r="C45" s="24">
        <v>2.9999999999999997E-4</v>
      </c>
      <c r="D45" s="70">
        <f t="shared" si="3"/>
        <v>0</v>
      </c>
      <c r="E45" s="74">
        <f>B45*'System Calculation'!$I$13</f>
        <v>0</v>
      </c>
      <c r="F45" s="24">
        <v>1.2999999999999999E-2</v>
      </c>
      <c r="G45" s="70">
        <f t="shared" si="4"/>
        <v>0</v>
      </c>
      <c r="H45" s="61" t="str">
        <f t="shared" si="8"/>
        <v xml:space="preserve"> </v>
      </c>
      <c r="I45" s="61"/>
      <c r="J45" s="61"/>
      <c r="K45" s="61" t="str">
        <f t="shared" si="7"/>
        <v xml:space="preserve"> </v>
      </c>
      <c r="L45" s="126" t="str">
        <f t="shared" si="9"/>
        <v xml:space="preserve"> </v>
      </c>
    </row>
    <row r="46" spans="1:14" x14ac:dyDescent="0.2">
      <c r="A46" s="25" t="s">
        <v>12</v>
      </c>
      <c r="B46" s="23"/>
      <c r="C46" s="24">
        <v>3.5E-4</v>
      </c>
      <c r="D46" s="70">
        <f>B46*C46</f>
        <v>0</v>
      </c>
      <c r="E46" s="74">
        <f>B46*'System Calculation'!$I$13</f>
        <v>0</v>
      </c>
      <c r="F46" s="24">
        <v>1.4E-2</v>
      </c>
      <c r="G46" s="70">
        <f t="shared" si="4"/>
        <v>0</v>
      </c>
      <c r="H46" s="61" t="str">
        <f t="shared" si="8"/>
        <v xml:space="preserve"> </v>
      </c>
      <c r="I46" s="61"/>
      <c r="J46" s="61"/>
      <c r="K46" s="61" t="str">
        <f t="shared" si="7"/>
        <v xml:space="preserve"> </v>
      </c>
      <c r="L46" s="126" t="str">
        <f t="shared" si="9"/>
        <v xml:space="preserve"> </v>
      </c>
    </row>
    <row r="47" spans="1:14" x14ac:dyDescent="0.2">
      <c r="A47" s="25" t="s">
        <v>11</v>
      </c>
      <c r="B47" s="23"/>
      <c r="C47" s="24">
        <v>3.5E-4</v>
      </c>
      <c r="D47" s="70">
        <f t="shared" si="3"/>
        <v>0</v>
      </c>
      <c r="E47" s="74">
        <f>B47*'System Calculation'!$I$13</f>
        <v>0</v>
      </c>
      <c r="F47" s="24">
        <v>1.4999999999999999E-2</v>
      </c>
      <c r="G47" s="70">
        <f t="shared" si="4"/>
        <v>0</v>
      </c>
      <c r="H47" s="61" t="str">
        <f t="shared" si="8"/>
        <v xml:space="preserve"> </v>
      </c>
      <c r="I47" s="61"/>
      <c r="J47" s="61"/>
      <c r="K47" s="61" t="str">
        <f t="shared" si="7"/>
        <v xml:space="preserve"> </v>
      </c>
      <c r="L47" s="126" t="str">
        <f t="shared" si="9"/>
        <v xml:space="preserve"> </v>
      </c>
    </row>
    <row r="48" spans="1:14" x14ac:dyDescent="0.2">
      <c r="A48" s="22" t="s">
        <v>6</v>
      </c>
      <c r="B48" s="23"/>
      <c r="C48" s="24">
        <v>2.9999999999999997E-4</v>
      </c>
      <c r="D48" s="70">
        <f t="shared" si="3"/>
        <v>0</v>
      </c>
      <c r="E48" s="74">
        <f>B48*'System Calculation'!$I$14</f>
        <v>0</v>
      </c>
      <c r="F48" s="24">
        <v>3.0000000000000001E-3</v>
      </c>
      <c r="G48" s="70">
        <f t="shared" si="4"/>
        <v>0</v>
      </c>
      <c r="H48" s="61"/>
      <c r="I48" s="61"/>
      <c r="J48" s="61" t="str">
        <f>IF(B48&lt;&gt;0,B48," ")</f>
        <v xml:space="preserve"> </v>
      </c>
      <c r="K48" s="61"/>
      <c r="L48" s="126" t="str">
        <f t="shared" si="9"/>
        <v xml:space="preserve"> </v>
      </c>
      <c r="N48" s="41" t="str">
        <f>IF(AND(B48&gt;0,B48&lt;5),CONCATENATE("Info: External 24V needed. Control Panel could provide from 24Vaux, if 500mA maximum current isn't exceeded. Current requested from device(s) = ",D48,"mA."),IF(B48=0," ",IF(OR(B48=5,B48&gt;5),CONCATENATE("Warning: External 24V PSU is mandatory. Current requested from devices = ",D48,"mA.")," ")))</f>
        <v xml:space="preserve"> </v>
      </c>
    </row>
    <row r="49" spans="1:12" x14ac:dyDescent="0.2">
      <c r="A49" s="22" t="s">
        <v>7</v>
      </c>
      <c r="B49" s="23"/>
      <c r="C49" s="24">
        <v>2.9999999999999997E-4</v>
      </c>
      <c r="D49" s="70">
        <f t="shared" si="3"/>
        <v>0</v>
      </c>
      <c r="E49" s="74"/>
      <c r="F49" s="24">
        <v>0.05</v>
      </c>
      <c r="G49" s="70">
        <f t="shared" si="4"/>
        <v>0</v>
      </c>
      <c r="H49" s="61"/>
      <c r="I49" s="61"/>
      <c r="J49" s="61"/>
      <c r="K49" s="61"/>
      <c r="L49" s="126"/>
    </row>
    <row r="50" spans="1:12" x14ac:dyDescent="0.2">
      <c r="A50" s="25" t="s">
        <v>73</v>
      </c>
      <c r="B50" s="23"/>
      <c r="C50" s="24">
        <v>6.2500000000000001E-4</v>
      </c>
      <c r="D50" s="70">
        <f t="shared" si="3"/>
        <v>0</v>
      </c>
      <c r="E50" s="74">
        <f>B50*'System Calculation'!$I$13</f>
        <v>0</v>
      </c>
      <c r="F50" s="24">
        <v>5.0000000000000001E-3</v>
      </c>
      <c r="G50" s="70">
        <f t="shared" si="4"/>
        <v>0</v>
      </c>
      <c r="H50" s="61"/>
      <c r="I50" s="61"/>
      <c r="J50" s="61"/>
      <c r="K50" s="61"/>
      <c r="L50" s="126"/>
    </row>
    <row r="51" spans="1:12" x14ac:dyDescent="0.2">
      <c r="A51" s="25" t="s">
        <v>74</v>
      </c>
      <c r="B51" s="23"/>
      <c r="C51" s="24">
        <v>2.9999999999999997E-4</v>
      </c>
      <c r="D51" s="70">
        <f t="shared" si="3"/>
        <v>0</v>
      </c>
      <c r="E51" s="74"/>
      <c r="F51" s="24">
        <v>3.0000000000000001E-3</v>
      </c>
      <c r="G51" s="70">
        <f t="shared" si="4"/>
        <v>0</v>
      </c>
      <c r="H51" s="61"/>
      <c r="I51" s="61"/>
      <c r="J51" s="61"/>
      <c r="K51" s="61"/>
      <c r="L51" s="126" t="str">
        <f>IF(B51&lt;&gt;0,3*B51," ")</f>
        <v xml:space="preserve"> </v>
      </c>
    </row>
    <row r="52" spans="1:12" x14ac:dyDescent="0.2">
      <c r="A52" s="25" t="s">
        <v>75</v>
      </c>
      <c r="B52" s="23"/>
      <c r="C52" s="24">
        <v>2.9999999999999997E-4</v>
      </c>
      <c r="D52" s="70">
        <f t="shared" si="3"/>
        <v>0</v>
      </c>
      <c r="E52" s="74"/>
      <c r="F52" s="24">
        <v>3.0000000000000001E-3</v>
      </c>
      <c r="G52" s="70">
        <f t="shared" si="4"/>
        <v>0</v>
      </c>
      <c r="H52" s="61"/>
      <c r="I52" s="61"/>
      <c r="J52" s="61"/>
      <c r="K52" s="61"/>
      <c r="L52" s="126" t="str">
        <f>IF(B52&lt;&gt;0,5*B52," ")</f>
        <v xml:space="preserve"> </v>
      </c>
    </row>
    <row r="53" spans="1:12" x14ac:dyDescent="0.2">
      <c r="A53" s="25" t="s">
        <v>76</v>
      </c>
      <c r="B53" s="23"/>
      <c r="C53" s="24">
        <v>2.9999999999999997E-4</v>
      </c>
      <c r="D53" s="70">
        <f t="shared" si="3"/>
        <v>0</v>
      </c>
      <c r="E53" s="74"/>
      <c r="F53" s="24">
        <v>3.0000000000000001E-3</v>
      </c>
      <c r="G53" s="70">
        <f t="shared" si="4"/>
        <v>0</v>
      </c>
      <c r="H53" s="61"/>
      <c r="I53" s="61"/>
      <c r="J53" s="61"/>
      <c r="K53" s="61"/>
      <c r="L53" s="126" t="str">
        <f>IF(B53&lt;&gt;0,9*B53," ")</f>
        <v xml:space="preserve"> </v>
      </c>
    </row>
    <row r="54" spans="1:12" x14ac:dyDescent="0.2">
      <c r="A54" s="25" t="s">
        <v>77</v>
      </c>
      <c r="B54" s="23"/>
      <c r="C54" s="24">
        <v>2.9999999999999997E-4</v>
      </c>
      <c r="D54" s="70">
        <f t="shared" si="3"/>
        <v>0</v>
      </c>
      <c r="E54" s="74"/>
      <c r="F54" s="24">
        <v>3.0000000000000001E-3</v>
      </c>
      <c r="G54" s="70">
        <f t="shared" si="4"/>
        <v>0</v>
      </c>
      <c r="H54" s="61"/>
      <c r="I54" s="61"/>
      <c r="J54" s="61"/>
      <c r="K54" s="61"/>
      <c r="L54" s="126" t="str">
        <f>IF(B54&lt;&gt;0,13*B54," ")</f>
        <v xml:space="preserve"> </v>
      </c>
    </row>
    <row r="55" spans="1:12" ht="13.5" thickBot="1" x14ac:dyDescent="0.25">
      <c r="A55" s="129" t="s">
        <v>78</v>
      </c>
      <c r="B55" s="130"/>
      <c r="C55" s="204">
        <v>2.9999999999999997E-4</v>
      </c>
      <c r="D55" s="131">
        <f t="shared" si="3"/>
        <v>0</v>
      </c>
      <c r="E55" s="132"/>
      <c r="F55" s="204">
        <v>3.0000000000000001E-3</v>
      </c>
      <c r="G55" s="131">
        <f t="shared" si="4"/>
        <v>0</v>
      </c>
      <c r="H55" s="50"/>
      <c r="I55" s="50"/>
      <c r="J55" s="50"/>
      <c r="K55" s="146"/>
      <c r="L55" s="133" t="str">
        <f>IF(B55&lt;&gt;0,3*B55," ")</f>
        <v xml:space="preserve"> </v>
      </c>
    </row>
    <row r="56" spans="1:12" s="7" customFormat="1" ht="13.5" thickBot="1" x14ac:dyDescent="0.25">
      <c r="A56" s="19" t="s">
        <v>8</v>
      </c>
      <c r="B56" s="76">
        <f>SUM(B17:B49)+SUM(L51:L55)</f>
        <v>0</v>
      </c>
      <c r="C56" s="20"/>
      <c r="D56" s="72">
        <f>SUM(D17:D55)</f>
        <v>0</v>
      </c>
      <c r="E56" s="75">
        <f>SUM(E17:E49)</f>
        <v>0</v>
      </c>
      <c r="F56" s="72"/>
      <c r="G56" s="72">
        <f t="shared" ref="G56:L56" si="10">SUM(G17:G55)</f>
        <v>0</v>
      </c>
      <c r="H56" s="72">
        <f t="shared" si="10"/>
        <v>0</v>
      </c>
      <c r="I56" s="76">
        <f t="shared" si="10"/>
        <v>0</v>
      </c>
      <c r="J56" s="76">
        <f t="shared" si="10"/>
        <v>0</v>
      </c>
      <c r="K56" s="76">
        <f t="shared" si="10"/>
        <v>0</v>
      </c>
      <c r="L56" s="147">
        <f t="shared" si="10"/>
        <v>0</v>
      </c>
    </row>
    <row r="57" spans="1:12" s="7" customFormat="1" x14ac:dyDescent="0.2">
      <c r="A57" s="29"/>
      <c r="B57" s="155" t="str">
        <f>IF($L$56&gt;250,"Error: The Loop cannot contain more than 250 addresses","")</f>
        <v/>
      </c>
      <c r="C57" s="123"/>
      <c r="D57" s="124"/>
      <c r="E57" s="125"/>
      <c r="F57" s="124"/>
      <c r="G57" s="124"/>
      <c r="H57" s="124"/>
      <c r="I57" s="124"/>
      <c r="J57" s="124"/>
      <c r="K57" s="122"/>
      <c r="L57" s="122"/>
    </row>
    <row r="58" spans="1:12" ht="14.45" customHeight="1" thickBot="1" x14ac:dyDescent="0.25">
      <c r="E58" s="32"/>
    </row>
    <row r="59" spans="1:12" ht="14.45" customHeight="1" thickBot="1" x14ac:dyDescent="0.25">
      <c r="A59" s="19" t="s">
        <v>141</v>
      </c>
      <c r="B59" s="134"/>
      <c r="C59" s="134"/>
      <c r="D59" s="135"/>
      <c r="E59" s="32"/>
    </row>
    <row r="60" spans="1:12" ht="14.45" customHeight="1" x14ac:dyDescent="0.2">
      <c r="A60" s="114" t="s">
        <v>142</v>
      </c>
      <c r="B60" s="144">
        <v>1.72E-2</v>
      </c>
      <c r="C60" s="52"/>
      <c r="D60" s="139" t="s">
        <v>143</v>
      </c>
      <c r="E60" s="32"/>
    </row>
    <row r="61" spans="1:12" ht="14.45" customHeight="1" x14ac:dyDescent="0.2">
      <c r="A61" s="39" t="s">
        <v>144</v>
      </c>
      <c r="B61" s="142">
        <f>D56</f>
        <v>0</v>
      </c>
      <c r="C61" s="61"/>
      <c r="D61" s="112" t="s">
        <v>9</v>
      </c>
      <c r="E61" s="32"/>
    </row>
    <row r="62" spans="1:12" ht="14.45" customHeight="1" x14ac:dyDescent="0.2">
      <c r="A62" s="39" t="s">
        <v>145</v>
      </c>
      <c r="B62" s="142">
        <f>G56-H56</f>
        <v>0</v>
      </c>
      <c r="C62" s="61"/>
      <c r="D62" s="112" t="s">
        <v>9</v>
      </c>
      <c r="E62" s="32"/>
    </row>
    <row r="63" spans="1:12" ht="14.45" customHeight="1" x14ac:dyDescent="0.2">
      <c r="A63" s="39" t="s">
        <v>146</v>
      </c>
      <c r="B63" s="142">
        <f>H56</f>
        <v>0</v>
      </c>
      <c r="C63" s="61"/>
      <c r="D63" s="112" t="s">
        <v>9</v>
      </c>
      <c r="E63" s="32"/>
    </row>
    <row r="64" spans="1:12" ht="14.45" customHeight="1" x14ac:dyDescent="0.2">
      <c r="A64" s="39" t="s">
        <v>147</v>
      </c>
      <c r="B64" s="142">
        <f>SUM(B61:B63)</f>
        <v>0</v>
      </c>
      <c r="C64" s="61"/>
      <c r="D64" s="112" t="s">
        <v>9</v>
      </c>
      <c r="E64" s="32"/>
    </row>
    <row r="65" spans="1:12" ht="14.45" customHeight="1" thickBot="1" x14ac:dyDescent="0.25">
      <c r="A65" s="145" t="s">
        <v>148</v>
      </c>
      <c r="B65" s="127">
        <v>6.9</v>
      </c>
      <c r="C65" s="127"/>
      <c r="D65" s="34" t="s">
        <v>149</v>
      </c>
      <c r="E65" s="32"/>
    </row>
    <row r="66" spans="1:12" ht="14.45" customHeight="1" thickBot="1" x14ac:dyDescent="0.25">
      <c r="A66" s="17"/>
      <c r="E66" s="32"/>
    </row>
    <row r="67" spans="1:12" ht="14.45" customHeight="1" thickBot="1" x14ac:dyDescent="0.25">
      <c r="A67" s="8" t="s">
        <v>159</v>
      </c>
      <c r="B67" s="152"/>
      <c r="C67" s="152"/>
      <c r="D67" s="152"/>
      <c r="E67" s="167"/>
      <c r="F67" s="152"/>
      <c r="G67" s="152"/>
      <c r="H67" s="152"/>
      <c r="I67" s="152"/>
      <c r="J67" s="152"/>
      <c r="K67" s="153"/>
      <c r="L67" s="156" t="s">
        <v>155</v>
      </c>
    </row>
    <row r="68" spans="1:12" ht="14.45" customHeight="1" x14ac:dyDescent="0.2">
      <c r="A68" s="174" t="s">
        <v>160</v>
      </c>
      <c r="B68" s="52">
        <v>1000</v>
      </c>
      <c r="C68" s="52"/>
      <c r="D68" s="52">
        <v>1500</v>
      </c>
      <c r="E68" s="166"/>
      <c r="F68" s="52"/>
      <c r="G68" s="52">
        <v>2000</v>
      </c>
      <c r="H68" s="52">
        <v>2500</v>
      </c>
      <c r="I68" s="52">
        <v>3000</v>
      </c>
      <c r="J68" s="170">
        <v>3500</v>
      </c>
      <c r="K68" s="157" t="s">
        <v>156</v>
      </c>
    </row>
    <row r="69" spans="1:12" ht="14.45" customHeight="1" x14ac:dyDescent="0.2">
      <c r="A69" s="143" t="s">
        <v>161</v>
      </c>
      <c r="B69" s="159" t="e">
        <f>((($B$60*B68)/B71)*2)</f>
        <v>#DIV/0!</v>
      </c>
      <c r="C69" s="159" t="e">
        <f t="shared" ref="C69:J69" si="11">((($B$60*C68)/C71)*2)</f>
        <v>#DIV/0!</v>
      </c>
      <c r="D69" s="159" t="e">
        <f t="shared" si="11"/>
        <v>#DIV/0!</v>
      </c>
      <c r="E69" s="159" t="e">
        <f t="shared" si="11"/>
        <v>#DIV/0!</v>
      </c>
      <c r="F69" s="159" t="e">
        <f t="shared" si="11"/>
        <v>#DIV/0!</v>
      </c>
      <c r="G69" s="159" t="e">
        <f t="shared" si="11"/>
        <v>#DIV/0!</v>
      </c>
      <c r="H69" s="159" t="e">
        <f t="shared" si="11"/>
        <v>#DIV/0!</v>
      </c>
      <c r="I69" s="159" t="e">
        <f t="shared" si="11"/>
        <v>#DIV/0!</v>
      </c>
      <c r="J69" s="159" t="e">
        <f t="shared" si="11"/>
        <v>#DIV/0!</v>
      </c>
      <c r="K69" s="158" t="s">
        <v>157</v>
      </c>
    </row>
    <row r="70" spans="1:12" ht="14.45" customHeight="1" thickBot="1" x14ac:dyDescent="0.25">
      <c r="A70" s="173" t="s">
        <v>162</v>
      </c>
      <c r="B70" s="159" t="e">
        <f>B69/2</f>
        <v>#DIV/0!</v>
      </c>
      <c r="C70" s="159" t="e">
        <f t="shared" ref="C70:G70" si="12">C69/2</f>
        <v>#DIV/0!</v>
      </c>
      <c r="D70" s="159" t="e">
        <f t="shared" si="12"/>
        <v>#DIV/0!</v>
      </c>
      <c r="E70" s="159" t="e">
        <f t="shared" si="12"/>
        <v>#DIV/0!</v>
      </c>
      <c r="F70" s="159" t="e">
        <f t="shared" si="12"/>
        <v>#DIV/0!</v>
      </c>
      <c r="G70" s="159" t="e">
        <f t="shared" si="12"/>
        <v>#DIV/0!</v>
      </c>
      <c r="H70" s="159" t="e">
        <f>H69/2</f>
        <v>#DIV/0!</v>
      </c>
      <c r="I70" s="159" t="e">
        <f>I69/2</f>
        <v>#DIV/0!</v>
      </c>
      <c r="J70" s="159" t="e">
        <f>J69/2</f>
        <v>#DIV/0!</v>
      </c>
      <c r="K70" s="172" t="s">
        <v>157</v>
      </c>
    </row>
    <row r="71" spans="1:12" ht="14.45" customHeight="1" thickBot="1" x14ac:dyDescent="0.25">
      <c r="A71" s="19" t="s">
        <v>163</v>
      </c>
      <c r="B71" s="199" t="e">
        <f t="shared" ref="B71:J71" si="13">IF((($B$60*B$68)/(($B$65-((SUM($B$18,$B$20,$B$22,$B$24)*0.155)*$B$64))/$B$64))&lt;0.5,0.5,(($B$60*B$68)/(($B$65-((SUM($B$18,$B$20,$B$22,$B$24)*0.155)*$B$64))/$B$64)))</f>
        <v>#DIV/0!</v>
      </c>
      <c r="C71" s="199" t="e">
        <f t="shared" si="13"/>
        <v>#DIV/0!</v>
      </c>
      <c r="D71" s="199" t="e">
        <f t="shared" si="13"/>
        <v>#DIV/0!</v>
      </c>
      <c r="E71" s="199" t="e">
        <f t="shared" si="13"/>
        <v>#DIV/0!</v>
      </c>
      <c r="F71" s="199" t="e">
        <f t="shared" si="13"/>
        <v>#DIV/0!</v>
      </c>
      <c r="G71" s="199" t="e">
        <f t="shared" si="13"/>
        <v>#DIV/0!</v>
      </c>
      <c r="H71" s="199" t="e">
        <f t="shared" si="13"/>
        <v>#DIV/0!</v>
      </c>
      <c r="I71" s="199" t="e">
        <f t="shared" si="13"/>
        <v>#DIV/0!</v>
      </c>
      <c r="J71" s="199" t="e">
        <f t="shared" si="13"/>
        <v>#DIV/0!</v>
      </c>
      <c r="K71" s="111" t="s">
        <v>135</v>
      </c>
    </row>
    <row r="72" spans="1:12" ht="14.45" customHeight="1" thickBot="1" x14ac:dyDescent="0.25">
      <c r="A72" s="17"/>
      <c r="E72" s="32"/>
    </row>
    <row r="73" spans="1:12" ht="14.45" customHeight="1" thickBot="1" x14ac:dyDescent="0.25">
      <c r="A73" s="8" t="s">
        <v>164</v>
      </c>
      <c r="B73" s="152"/>
      <c r="C73" s="152"/>
      <c r="D73" s="152"/>
      <c r="E73" s="167"/>
      <c r="F73" s="152"/>
      <c r="G73" s="152"/>
      <c r="H73" s="152"/>
      <c r="I73" s="152"/>
      <c r="J73" s="152"/>
      <c r="K73" s="153"/>
      <c r="L73" s="156" t="s">
        <v>158</v>
      </c>
    </row>
    <row r="74" spans="1:12" ht="14.45" customHeight="1" x14ac:dyDescent="0.2">
      <c r="A74" s="168" t="s">
        <v>165</v>
      </c>
      <c r="B74" s="48">
        <v>0.5</v>
      </c>
      <c r="C74" s="52"/>
      <c r="D74" s="52">
        <v>0.75</v>
      </c>
      <c r="E74" s="166"/>
      <c r="F74" s="52"/>
      <c r="G74" s="52">
        <v>1</v>
      </c>
      <c r="H74" s="52">
        <v>1.5</v>
      </c>
      <c r="I74" s="52">
        <v>2.5</v>
      </c>
      <c r="J74" s="170">
        <v>4</v>
      </c>
      <c r="K74" s="157" t="s">
        <v>135</v>
      </c>
    </row>
    <row r="75" spans="1:12" ht="14.45" customHeight="1" x14ac:dyDescent="0.2">
      <c r="A75" s="169" t="s">
        <v>161</v>
      </c>
      <c r="B75" s="159" t="e">
        <f t="shared" ref="B75:J75" si="14">$B$60*B77/B74*2</f>
        <v>#DIV/0!</v>
      </c>
      <c r="C75" s="159" t="e">
        <f t="shared" si="14"/>
        <v>#DIV/0!</v>
      </c>
      <c r="D75" s="159" t="e">
        <f t="shared" si="14"/>
        <v>#DIV/0!</v>
      </c>
      <c r="E75" s="159" t="e">
        <f t="shared" si="14"/>
        <v>#DIV/0!</v>
      </c>
      <c r="F75" s="159" t="e">
        <f t="shared" si="14"/>
        <v>#DIV/0!</v>
      </c>
      <c r="G75" s="159" t="e">
        <f t="shared" si="14"/>
        <v>#DIV/0!</v>
      </c>
      <c r="H75" s="159" t="e">
        <f t="shared" si="14"/>
        <v>#DIV/0!</v>
      </c>
      <c r="I75" s="159" t="e">
        <f t="shared" si="14"/>
        <v>#DIV/0!</v>
      </c>
      <c r="J75" s="159" t="e">
        <f t="shared" si="14"/>
        <v>#DIV/0!</v>
      </c>
      <c r="K75" s="158" t="s">
        <v>157</v>
      </c>
    </row>
    <row r="76" spans="1:12" ht="14.45" customHeight="1" thickBot="1" x14ac:dyDescent="0.25">
      <c r="A76" s="171" t="s">
        <v>162</v>
      </c>
      <c r="B76" s="159" t="e">
        <f>B75/2</f>
        <v>#DIV/0!</v>
      </c>
      <c r="C76" s="159" t="e">
        <f t="shared" ref="C76:G76" si="15">C75/2</f>
        <v>#DIV/0!</v>
      </c>
      <c r="D76" s="159" t="e">
        <f t="shared" si="15"/>
        <v>#DIV/0!</v>
      </c>
      <c r="E76" s="159" t="e">
        <f t="shared" si="15"/>
        <v>#DIV/0!</v>
      </c>
      <c r="F76" s="159" t="e">
        <f t="shared" si="15"/>
        <v>#DIV/0!</v>
      </c>
      <c r="G76" s="159" t="e">
        <f t="shared" si="15"/>
        <v>#DIV/0!</v>
      </c>
      <c r="H76" s="159" t="e">
        <f>H75/2</f>
        <v>#DIV/0!</v>
      </c>
      <c r="I76" s="159" t="e">
        <f>I75/2</f>
        <v>#DIV/0!</v>
      </c>
      <c r="J76" s="159" t="e">
        <f>J75/2</f>
        <v>#DIV/0!</v>
      </c>
      <c r="K76" s="172" t="s">
        <v>157</v>
      </c>
    </row>
    <row r="77" spans="1:12" ht="14.45" customHeight="1" thickBot="1" x14ac:dyDescent="0.25">
      <c r="A77" s="111" t="s">
        <v>166</v>
      </c>
      <c r="B77" s="199" t="e">
        <f t="shared" ref="B77:J77" si="16">IF((((($B$65-((SUM($B$18,$B$20,$B$22,$B$24)*0.155)*$B$64))/$B$64)*B$74)/$B$60)&gt;3500,3500,(((($B$65-((SUM($B$18,$B$20,$B$22,$B$24)*0.155)*$B$64))/$B$64)*B$74)/$B$60))</f>
        <v>#DIV/0!</v>
      </c>
      <c r="C77" s="199" t="e">
        <f t="shared" si="16"/>
        <v>#DIV/0!</v>
      </c>
      <c r="D77" s="199" t="e">
        <f t="shared" si="16"/>
        <v>#DIV/0!</v>
      </c>
      <c r="E77" s="199" t="e">
        <f t="shared" si="16"/>
        <v>#DIV/0!</v>
      </c>
      <c r="F77" s="199" t="e">
        <f t="shared" si="16"/>
        <v>#DIV/0!</v>
      </c>
      <c r="G77" s="199" t="e">
        <f t="shared" si="16"/>
        <v>#DIV/0!</v>
      </c>
      <c r="H77" s="199" t="e">
        <f t="shared" si="16"/>
        <v>#DIV/0!</v>
      </c>
      <c r="I77" s="199" t="e">
        <f t="shared" si="16"/>
        <v>#DIV/0!</v>
      </c>
      <c r="J77" s="199" t="e">
        <f t="shared" si="16"/>
        <v>#DIV/0!</v>
      </c>
      <c r="K77" s="111" t="s">
        <v>156</v>
      </c>
    </row>
    <row r="78" spans="1:12" ht="14.45" customHeight="1" thickBot="1" x14ac:dyDescent="0.25">
      <c r="A78" s="17"/>
      <c r="E78" s="32"/>
    </row>
    <row r="79" spans="1:12" ht="14.45" customHeight="1" thickBot="1" x14ac:dyDescent="0.25">
      <c r="A79" s="8" t="s">
        <v>167</v>
      </c>
      <c r="B79" s="152"/>
      <c r="C79" s="152"/>
      <c r="D79" s="153"/>
      <c r="E79" s="32"/>
    </row>
    <row r="80" spans="1:12" ht="14.45" customHeight="1" x14ac:dyDescent="0.2">
      <c r="A80" s="163" t="s">
        <v>168</v>
      </c>
      <c r="B80" s="52">
        <f>$B$10</f>
        <v>1.5</v>
      </c>
      <c r="C80" s="52"/>
      <c r="D80" s="117" t="s">
        <v>135</v>
      </c>
      <c r="E80" s="32"/>
      <c r="H80" s="155" t="str">
        <f>IF(B80&lt;0.5,"Error: The Minimum Cable Seccion in the Loop is 0,5 mm2","")</f>
        <v/>
      </c>
    </row>
    <row r="81" spans="1:12" ht="14.45" customHeight="1" x14ac:dyDescent="0.2">
      <c r="A81" s="39" t="s">
        <v>169</v>
      </c>
      <c r="B81" s="61">
        <f>$B$11</f>
        <v>2000</v>
      </c>
      <c r="C81" s="61"/>
      <c r="D81" s="112" t="s">
        <v>135</v>
      </c>
      <c r="E81" s="32"/>
      <c r="H81" s="155" t="str">
        <f>IF(B81&gt;3500,"Error: The Maximum Lenght in the Line is 3500 meters","")</f>
        <v/>
      </c>
    </row>
    <row r="82" spans="1:12" ht="14.45" customHeight="1" x14ac:dyDescent="0.2">
      <c r="A82" s="39" t="s">
        <v>170</v>
      </c>
      <c r="B82" s="161">
        <f>((($B$60*B81)/B80)*2)+(SUM(B18,B20,B22,B24,)*0.155)</f>
        <v>45.866666666666667</v>
      </c>
      <c r="C82" s="61"/>
      <c r="D82" s="126" t="s">
        <v>157</v>
      </c>
      <c r="E82" s="32"/>
    </row>
    <row r="83" spans="1:12" ht="14.45" customHeight="1" thickBot="1" x14ac:dyDescent="0.25">
      <c r="A83" s="145" t="s">
        <v>171</v>
      </c>
      <c r="B83" s="160">
        <f>B82/2</f>
        <v>22.933333333333334</v>
      </c>
      <c r="C83" s="127"/>
      <c r="D83" s="128" t="s">
        <v>157</v>
      </c>
      <c r="E83" s="32"/>
    </row>
    <row r="84" spans="1:12" ht="14.45" customHeight="1" thickBot="1" x14ac:dyDescent="0.25">
      <c r="A84" s="175" t="s">
        <v>172</v>
      </c>
      <c r="B84" s="177">
        <f>$B$65/$B$83</f>
        <v>0.30087209302325585</v>
      </c>
      <c r="C84" s="176"/>
      <c r="D84" s="178" t="s">
        <v>9</v>
      </c>
      <c r="E84" s="32"/>
    </row>
    <row r="85" spans="1:12" ht="14.45" customHeight="1" thickBot="1" x14ac:dyDescent="0.25">
      <c r="A85" s="165" t="s">
        <v>138</v>
      </c>
      <c r="B85" s="152"/>
      <c r="C85" s="152"/>
      <c r="D85" s="153"/>
      <c r="E85" s="32"/>
    </row>
    <row r="86" spans="1:12" ht="14.45" customHeight="1" thickBot="1" x14ac:dyDescent="0.25">
      <c r="A86" s="165" t="s">
        <v>139</v>
      </c>
      <c r="B86" s="153"/>
      <c r="C86" s="11"/>
      <c r="D86" s="164" t="str">
        <f>IF($B$64&gt;0.4,"FAIL",IF($B$84&gt;=$B$64,"OK","FAIL"))</f>
        <v>OK</v>
      </c>
      <c r="E86" s="32"/>
      <c r="H86" s="155" t="str">
        <f>IF($B$64&gt;0.4,"Error: The Loop Current is upper that Maximum Current allowed",IF($B$84&lt;$B$64,"Error: The Loop Current is upper that Maximum Current allowed",""))</f>
        <v/>
      </c>
    </row>
    <row r="87" spans="1:12" ht="14.45" customHeight="1" thickBot="1" x14ac:dyDescent="0.25">
      <c r="A87" s="165" t="s">
        <v>140</v>
      </c>
      <c r="B87" s="153"/>
      <c r="C87" s="141"/>
      <c r="D87" s="162" t="str">
        <f>IF($L$56&lt;=250,"OK","FAIL")</f>
        <v>OK</v>
      </c>
      <c r="E87" s="32"/>
      <c r="H87" s="155" t="str">
        <f>IF($L$56&gt;250,"Error: The Loop cannot contain more than 250 addresses","")</f>
        <v/>
      </c>
    </row>
    <row r="88" spans="1:12" ht="14.45" customHeight="1" x14ac:dyDescent="0.2">
      <c r="A88" s="17"/>
      <c r="E88" s="32"/>
    </row>
    <row r="90" spans="1:12" ht="27" customHeight="1" x14ac:dyDescent="0.2">
      <c r="A90" s="233" t="s">
        <v>13</v>
      </c>
      <c r="B90" s="233"/>
      <c r="C90" s="233"/>
      <c r="D90" s="233"/>
      <c r="E90" s="233"/>
      <c r="F90" s="233"/>
      <c r="G90" s="233"/>
      <c r="H90" s="233"/>
      <c r="I90" s="233"/>
      <c r="J90" s="233"/>
      <c r="K90" s="233"/>
      <c r="L90" s="233"/>
    </row>
  </sheetData>
  <sheetProtection algorithmName="SHA-512" hashValue="YVDZY80Yd0IKT3nF1AL6ybUiBs80wxRR+mt79BQZKdxUgMf079Nh4IAu7B+CNxo6qEWrFcDArzXPNLrVTGV2Fw==" saltValue="K57YM4cjrQoRhDA7NIpmjA==" spinCount="100000" sheet="1" selectLockedCells="1" sort="0" autoFilter="0" pivotTables="0"/>
  <mergeCells count="4">
    <mergeCell ref="J9:K9"/>
    <mergeCell ref="J10:K10"/>
    <mergeCell ref="J11:K11"/>
    <mergeCell ref="A90:L90"/>
  </mergeCells>
  <conditionalFormatting sqref="I41 N37:N40">
    <cfRule type="expression" dxfId="49" priority="23" stopIfTrue="1">
      <formula>$B$36&gt;2</formula>
    </cfRule>
    <cfRule type="expression" dxfId="48" priority="24" stopIfTrue="1">
      <formula>$B$36&lt;3</formula>
    </cfRule>
  </conditionalFormatting>
  <conditionalFormatting sqref="N33:N34">
    <cfRule type="expression" dxfId="47" priority="21" stopIfTrue="1">
      <formula>$B$35&gt;4</formula>
    </cfRule>
    <cfRule type="expression" dxfId="46" priority="22" stopIfTrue="1">
      <formula>$B$35&lt;5</formula>
    </cfRule>
  </conditionalFormatting>
  <conditionalFormatting sqref="N31">
    <cfRule type="expression" dxfId="45" priority="19" stopIfTrue="1">
      <formula>$B$36&gt;2</formula>
    </cfRule>
    <cfRule type="expression" dxfId="44" priority="20" stopIfTrue="1">
      <formula>$B$36&lt;3</formula>
    </cfRule>
  </conditionalFormatting>
  <conditionalFormatting sqref="N32">
    <cfRule type="expression" dxfId="43" priority="17" stopIfTrue="1">
      <formula>$B$36&gt;2</formula>
    </cfRule>
    <cfRule type="expression" dxfId="42" priority="18" stopIfTrue="1">
      <formula>$B$36&lt;3</formula>
    </cfRule>
  </conditionalFormatting>
  <conditionalFormatting sqref="N36">
    <cfRule type="expression" dxfId="41" priority="13" stopIfTrue="1">
      <formula>$B$36&gt;2</formula>
    </cfRule>
    <cfRule type="expression" dxfId="40" priority="14" stopIfTrue="1">
      <formula>$B$36&lt;3</formula>
    </cfRule>
  </conditionalFormatting>
  <conditionalFormatting sqref="N35">
    <cfRule type="expression" dxfId="39" priority="15" stopIfTrue="1">
      <formula>$B$36&gt;2</formula>
    </cfRule>
    <cfRule type="expression" dxfId="38" priority="16" stopIfTrue="1">
      <formula>$B$36&lt;3</formula>
    </cfRule>
  </conditionalFormatting>
  <conditionalFormatting sqref="J17:J55">
    <cfRule type="cellIs" dxfId="37" priority="12" operator="equal">
      <formula>0</formula>
    </cfRule>
  </conditionalFormatting>
  <conditionalFormatting sqref="L11">
    <cfRule type="cellIs" dxfId="36" priority="8" stopIfTrue="1" operator="equal">
      <formula>"FAIL"</formula>
    </cfRule>
  </conditionalFormatting>
  <conditionalFormatting sqref="D86">
    <cfRule type="cellIs" dxfId="35" priority="11" stopIfTrue="1" operator="equal">
      <formula>"FAIL"</formula>
    </cfRule>
  </conditionalFormatting>
  <conditionalFormatting sqref="D87">
    <cfRule type="cellIs" dxfId="34" priority="10" stopIfTrue="1" operator="equal">
      <formula>"FAIL"</formula>
    </cfRule>
  </conditionalFormatting>
  <conditionalFormatting sqref="L10">
    <cfRule type="cellIs" dxfId="33" priority="9" stopIfTrue="1" operator="equal">
      <formula>"FAIL"</formula>
    </cfRule>
  </conditionalFormatting>
  <conditionalFormatting sqref="B69:J70">
    <cfRule type="containsErrors" dxfId="32" priority="7">
      <formula>ISERROR(B69)</formula>
    </cfRule>
  </conditionalFormatting>
  <conditionalFormatting sqref="B75:J76">
    <cfRule type="containsErrors" dxfId="31" priority="6">
      <formula>ISERROR(B75)</formula>
    </cfRule>
  </conditionalFormatting>
  <conditionalFormatting sqref="B71">
    <cfRule type="containsErrors" dxfId="30" priority="25">
      <formula>ISERROR(B71)</formula>
    </cfRule>
  </conditionalFormatting>
  <conditionalFormatting sqref="D71:J71">
    <cfRule type="containsErrors" dxfId="29" priority="5">
      <formula>ISERROR(D71)</formula>
    </cfRule>
  </conditionalFormatting>
  <conditionalFormatting sqref="B77">
    <cfRule type="containsErrors" dxfId="28" priority="4">
      <formula>ISERROR(B77)</formula>
    </cfRule>
  </conditionalFormatting>
  <conditionalFormatting sqref="D77:J77">
    <cfRule type="containsErrors" dxfId="27" priority="3">
      <formula>ISERROR(D77)</formula>
    </cfRule>
  </conditionalFormatting>
  <conditionalFormatting sqref="N48">
    <cfRule type="expression" dxfId="26" priority="1" stopIfTrue="1">
      <formula>$B$35&gt;4</formula>
    </cfRule>
    <cfRule type="expression" dxfId="25" priority="2" stopIfTrue="1">
      <formula>$B$35&lt;5</formula>
    </cfRule>
  </conditionalFormatting>
  <pageMargins left="0.78740157480314965" right="0.39370078740157483" top="0.39370078740157483" bottom="0.39370078740157483" header="0" footer="0"/>
  <pageSetup paperSize="9" scale="87" orientation="portrait" horizontalDpi="1200" verticalDpi="12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10F688C-7E97-462F-A099-E79D9D4E61B9}">
          <x14:formula1>
            <xm:f>Datos!$F$15:$F$19</xm:f>
          </x14:formula1>
          <xm:sqref>B10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15</vt:i4>
      </vt:variant>
    </vt:vector>
  </HeadingPairs>
  <TitlesOfParts>
    <vt:vector size="24" baseType="lpstr">
      <vt:lpstr>System Calculation</vt:lpstr>
      <vt:lpstr>SC_Loop 1</vt:lpstr>
      <vt:lpstr>SC_Loop 2</vt:lpstr>
      <vt:lpstr>SC_Loop 3</vt:lpstr>
      <vt:lpstr>SC_Loop 4</vt:lpstr>
      <vt:lpstr>SC_Loop 5</vt:lpstr>
      <vt:lpstr>SC_Loop 6</vt:lpstr>
      <vt:lpstr>SC_Loop 7</vt:lpstr>
      <vt:lpstr>SC_Loop 8</vt:lpstr>
      <vt:lpstr>CAD_150_1</vt:lpstr>
      <vt:lpstr>CAD_150_2</vt:lpstr>
      <vt:lpstr>CAD_150_2_MB</vt:lpstr>
      <vt:lpstr>CAD_150_4</vt:lpstr>
      <vt:lpstr>CAD_150_4_P</vt:lpstr>
      <vt:lpstr>CAD_150_8_4loop</vt:lpstr>
      <vt:lpstr>CAD_150_8_6loop</vt:lpstr>
      <vt:lpstr>CAD_150_8_8loop</vt:lpstr>
      <vt:lpstr>CAD_150_8PLUS_4loop</vt:lpstr>
      <vt:lpstr>CAD_150_8PLUS_6loop</vt:lpstr>
      <vt:lpstr>CAD_150_8PLUS_8loop</vt:lpstr>
      <vt:lpstr>CAD_150_8PLUS_P_4loop</vt:lpstr>
      <vt:lpstr>CAD_150_8PLUS_P_6loop</vt:lpstr>
      <vt:lpstr>CAD_150_8PLUS_P_8loop</vt:lpstr>
      <vt:lpstr>Centrales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Miguel Cabrera</dc:creator>
  <cp:lastModifiedBy>Jordi Vilarrubi - DETNOV</cp:lastModifiedBy>
  <cp:lastPrinted>2012-08-27T12:21:11Z</cp:lastPrinted>
  <dcterms:created xsi:type="dcterms:W3CDTF">2012-08-10T08:25:10Z</dcterms:created>
  <dcterms:modified xsi:type="dcterms:W3CDTF">2019-11-25T16:05:39Z</dcterms:modified>
</cp:coreProperties>
</file>